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NFSVNAS01\share\企画部\統計課\03 企画分析班\100 県民経済、市町村民所得\市民共通\R5市町村民経済計算\市町村民報告書\報告書・公表\R5報告書\1_R5HP用\４　補助ツール\"/>
    </mc:Choice>
  </mc:AlternateContent>
  <xr:revisionPtr revIDLastSave="0" documentId="13_ncr:1_{ADA7AAE1-FCA2-4C22-8682-E12FF6BE1C99}" xr6:coauthVersionLast="47" xr6:coauthVersionMax="47" xr10:uidLastSave="{00000000-0000-0000-0000-000000000000}"/>
  <workbookProtection workbookAlgorithmName="SHA-512" workbookHashValue="mAMsvMZJx6K5EfQvdOUOyQICgqWnhyFz3lQGjp8G85ZBMqbY0fMTbK22dtC+i+2dgjTDxYvLYuDm8jdhNglglQ==" workbookSaltValue="LxKN/6hicXFViPnV0Z3lqg==" workbookSpinCount="100000" lockStructure="1"/>
  <bookViews>
    <workbookView xWindow="57480" yWindow="-120" windowWidth="29040" windowHeight="15720" firstSheet="1" activeTab="1" xr2:uid="{00000000-000D-0000-FFFF-FFFF00000000}"/>
  </bookViews>
  <sheets>
    <sheet name="経済活動別〔統計表〕" sheetId="10" state="hidden" r:id="rId1"/>
    <sheet name="地域分析" sheetId="9" r:id="rId2"/>
    <sheet name="地域分析BD" sheetId="16" state="hidden" r:id="rId3"/>
    <sheet name="コード表" sheetId="12" state="hidden" r:id="rId4"/>
  </sheets>
  <definedNames>
    <definedName name="_xlnm.Print_Area" localSheetId="3">コード表!$A$1:$O$155</definedName>
    <definedName name="_xlnm.Print_Area" localSheetId="0">経済活動別〔統計表〕!$A$1:$AB$676</definedName>
    <definedName name="_xlnm.Print_Area" localSheetId="1">地域分析!$A$1:$K$95</definedName>
    <definedName name="_xlnm.Print_Area" localSheetId="2">地域分析BD!$A$1:$O$241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8" i="16" l="1"/>
  <c r="C238" i="16"/>
  <c r="B240" i="16"/>
  <c r="O102" i="12"/>
  <c r="O103" i="12"/>
  <c r="O9" i="12"/>
  <c r="O13" i="12" s="1"/>
  <c r="O10" i="12"/>
  <c r="O11" i="12"/>
  <c r="O36" i="12"/>
  <c r="O48" i="12"/>
  <c r="C626" i="10"/>
  <c r="O18" i="12" l="1"/>
  <c r="O17" i="12"/>
  <c r="O44" i="12"/>
  <c r="O43" i="12"/>
  <c r="O54" i="12"/>
  <c r="O41" i="12"/>
  <c r="O16" i="12"/>
  <c r="O45" i="12"/>
  <c r="O32" i="12"/>
  <c r="O31" i="12"/>
  <c r="O53" i="12"/>
  <c r="O40" i="12"/>
  <c r="O39" i="12"/>
  <c r="O15" i="12"/>
  <c r="O46" i="12"/>
  <c r="O34" i="12"/>
  <c r="O57" i="12"/>
  <c r="O33" i="12"/>
  <c r="O20" i="12"/>
  <c r="O55" i="12"/>
  <c r="O42" i="12"/>
  <c r="O30" i="12"/>
  <c r="O52" i="12"/>
  <c r="O28" i="12"/>
  <c r="O14" i="12"/>
  <c r="O24" i="12"/>
  <c r="O12" i="12"/>
  <c r="O59" i="12"/>
  <c r="O47" i="12"/>
  <c r="O35" i="12"/>
  <c r="O23" i="12"/>
  <c r="O58" i="12"/>
  <c r="O22" i="12"/>
  <c r="O21" i="12"/>
  <c r="O56" i="12"/>
  <c r="O19" i="12"/>
  <c r="O29" i="12"/>
  <c r="O51" i="12"/>
  <c r="O27" i="12"/>
  <c r="O50" i="12"/>
  <c r="O38" i="12"/>
  <c r="O26" i="12"/>
  <c r="O49" i="12"/>
  <c r="O37" i="12"/>
  <c r="O25" i="12"/>
  <c r="C100" i="16"/>
  <c r="C101" i="16"/>
  <c r="C177" i="16"/>
  <c r="K176" i="16"/>
  <c r="C176" i="16"/>
  <c r="C574" i="10" l="1"/>
  <c r="L4" i="16" l="1"/>
  <c r="L238" i="16" s="1"/>
  <c r="C522" i="10"/>
  <c r="L132" i="16" l="1"/>
  <c r="L176" i="16"/>
  <c r="L162" i="16"/>
  <c r="L36" i="16"/>
  <c r="M4" i="16"/>
  <c r="M238" i="16" s="1"/>
  <c r="L100" i="16"/>
  <c r="L68" i="16"/>
  <c r="L208" i="16"/>
  <c r="A1" i="16"/>
  <c r="M176" i="16" l="1"/>
  <c r="N4" i="16"/>
  <c r="N238" i="16" s="1"/>
  <c r="M162" i="16"/>
  <c r="M36" i="16"/>
  <c r="M208" i="16"/>
  <c r="M100" i="16"/>
  <c r="M132" i="16"/>
  <c r="M68" i="16"/>
  <c r="R135" i="16"/>
  <c r="D164" i="16"/>
  <c r="N132" i="16" l="1"/>
  <c r="N208" i="16"/>
  <c r="O4" i="16"/>
  <c r="O238" i="16" s="1"/>
  <c r="N68" i="16"/>
  <c r="N176" i="16"/>
  <c r="N36" i="16"/>
  <c r="N162" i="16"/>
  <c r="N100" i="16"/>
  <c r="E164" i="16"/>
  <c r="C163" i="16"/>
  <c r="K162" i="16"/>
  <c r="C162" i="16"/>
  <c r="O208" i="16" l="1"/>
  <c r="O176" i="16"/>
  <c r="O36" i="16"/>
  <c r="O100" i="16"/>
  <c r="O162" i="16"/>
  <c r="O132" i="16"/>
  <c r="O68" i="16"/>
  <c r="F164" i="16"/>
  <c r="R66" i="16"/>
  <c r="R130" i="16"/>
  <c r="R134" i="16" s="1"/>
  <c r="R126" i="16"/>
  <c r="R168" i="16"/>
  <c r="R4" i="16"/>
  <c r="B206" i="16"/>
  <c r="C209" i="16"/>
  <c r="K208" i="16"/>
  <c r="C208" i="16"/>
  <c r="C133" i="16"/>
  <c r="K132" i="16"/>
  <c r="C132" i="16"/>
  <c r="G164" i="16" l="1"/>
  <c r="H117" i="12"/>
  <c r="H118" i="12" s="1"/>
  <c r="H109" i="12"/>
  <c r="H110" i="12" s="1"/>
  <c r="H111" i="12" s="1"/>
  <c r="H112" i="12" s="1"/>
  <c r="H113" i="12" s="1"/>
  <c r="H114" i="12" s="1"/>
  <c r="H115" i="12" s="1"/>
  <c r="H164" i="16" l="1"/>
  <c r="H119" i="12"/>
  <c r="H120" i="12" s="1"/>
  <c r="H121" i="12" s="1"/>
  <c r="H122" i="12" s="1"/>
  <c r="H123" i="12" s="1"/>
  <c r="H124" i="12" s="1"/>
  <c r="H125" i="12" s="1"/>
  <c r="H126" i="12" s="1"/>
  <c r="H127" i="12" s="1"/>
  <c r="H128" i="12" s="1"/>
  <c r="H129" i="12" s="1"/>
  <c r="H130" i="12" s="1"/>
  <c r="K108" i="12"/>
  <c r="K110" i="12" s="1"/>
  <c r="K5" i="9" s="1"/>
  <c r="B2" i="16"/>
  <c r="B239" i="16" s="1"/>
  <c r="K100" i="16"/>
  <c r="I164" i="16" l="1"/>
  <c r="A2" i="16"/>
  <c r="A174" i="16" s="1"/>
  <c r="K109" i="12"/>
  <c r="E5" i="9" s="1"/>
  <c r="J108" i="12"/>
  <c r="J110" i="12" s="1"/>
  <c r="I5" i="9"/>
  <c r="G5" i="9"/>
  <c r="B98" i="16"/>
  <c r="B66" i="16"/>
  <c r="B34" i="16"/>
  <c r="A1" i="9"/>
  <c r="C69" i="16"/>
  <c r="K68" i="16"/>
  <c r="C68" i="16"/>
  <c r="K36" i="16"/>
  <c r="C37" i="16"/>
  <c r="C36" i="16"/>
  <c r="D108" i="12"/>
  <c r="D109" i="12" s="1"/>
  <c r="D110" i="12" s="1"/>
  <c r="D111" i="12" s="1"/>
  <c r="D112" i="12" s="1"/>
  <c r="D113" i="12" s="1"/>
  <c r="D114" i="12" s="1"/>
  <c r="D115" i="12" s="1"/>
  <c r="D116" i="12" s="1"/>
  <c r="D117" i="12" s="1"/>
  <c r="D118" i="12" s="1"/>
  <c r="D119" i="12" s="1"/>
  <c r="D120" i="12" s="1"/>
  <c r="D121" i="12" s="1"/>
  <c r="D122" i="12" s="1"/>
  <c r="D123" i="12" s="1"/>
  <c r="D124" i="12" s="1"/>
  <c r="D125" i="12" s="1"/>
  <c r="D126" i="12" s="1"/>
  <c r="D127" i="12" s="1"/>
  <c r="D128" i="12" s="1"/>
  <c r="D129" i="12" s="1"/>
  <c r="D130" i="12" s="1"/>
  <c r="D131" i="12" s="1"/>
  <c r="D132" i="12" s="1"/>
  <c r="D133" i="12" s="1"/>
  <c r="D134" i="12" s="1"/>
  <c r="D135" i="12" s="1"/>
  <c r="D136" i="12" s="1"/>
  <c r="D137" i="12" s="1"/>
  <c r="D138" i="12" s="1"/>
  <c r="D139" i="12" s="1"/>
  <c r="D140" i="12" s="1"/>
  <c r="D141" i="12" s="1"/>
  <c r="D142" i="12" s="1"/>
  <c r="D143" i="12" s="1"/>
  <c r="D144" i="12" s="1"/>
  <c r="D145" i="12" s="1"/>
  <c r="D146" i="12" s="1"/>
  <c r="D147" i="12" s="1"/>
  <c r="D148" i="12" s="1"/>
  <c r="D149" i="12" s="1"/>
  <c r="D150" i="12" s="1"/>
  <c r="D151" i="12" s="1"/>
  <c r="D152" i="12" s="1"/>
  <c r="D153" i="12" s="1"/>
  <c r="D154" i="12" s="1"/>
  <c r="D155" i="12" s="1"/>
  <c r="K102" i="12"/>
  <c r="C103" i="12"/>
  <c r="C102" i="12"/>
  <c r="F100" i="12"/>
  <c r="C69" i="12"/>
  <c r="C70" i="12" s="1"/>
  <c r="C71" i="12" s="1"/>
  <c r="C72" i="12" s="1"/>
  <c r="C73" i="12" s="1"/>
  <c r="C74" i="12" s="1"/>
  <c r="C75" i="12" s="1"/>
  <c r="C76" i="12" s="1"/>
  <c r="C77" i="12" s="1"/>
  <c r="C78" i="12" s="1"/>
  <c r="C79" i="12" s="1"/>
  <c r="C80" i="12" s="1"/>
  <c r="C81" i="12" s="1"/>
  <c r="C82" i="12" s="1"/>
  <c r="C83" i="12" s="1"/>
  <c r="C84" i="12" s="1"/>
  <c r="C85" i="12" s="1"/>
  <c r="C86" i="12" s="1"/>
  <c r="C87" i="12" s="1"/>
  <c r="C88" i="12" s="1"/>
  <c r="C89" i="12" s="1"/>
  <c r="C90" i="12" s="1"/>
  <c r="C91" i="12" s="1"/>
  <c r="C92" i="12" s="1"/>
  <c r="C93" i="12" s="1"/>
  <c r="J164" i="16" l="1"/>
  <c r="C100" i="12"/>
  <c r="C104" i="12" s="1"/>
  <c r="D104" i="12" s="1"/>
  <c r="E104" i="12" s="1"/>
  <c r="F104" i="12" s="1"/>
  <c r="G104" i="12" s="1"/>
  <c r="H104" i="12" s="1"/>
  <c r="I104" i="12" s="1"/>
  <c r="J104" i="12" s="1"/>
  <c r="K104" i="12" s="1"/>
  <c r="L104" i="12" s="1"/>
  <c r="M104" i="12" s="1"/>
  <c r="N104" i="12" s="1"/>
  <c r="O104" i="12" s="1"/>
  <c r="I108" i="12"/>
  <c r="I110" i="12" s="1"/>
  <c r="J109" i="12"/>
  <c r="D5" i="9" s="1"/>
  <c r="J5" i="9"/>
  <c r="H5" i="9"/>
  <c r="F5" i="9"/>
  <c r="A34" i="16"/>
  <c r="A98" i="16"/>
  <c r="A66" i="16"/>
  <c r="K164" i="16" l="1"/>
  <c r="I109" i="12"/>
  <c r="C5" i="9" s="1"/>
  <c r="D9" i="12"/>
  <c r="C9" i="12"/>
  <c r="C12" i="12" s="1"/>
  <c r="L164" i="16" l="1"/>
  <c r="D5" i="16"/>
  <c r="D4" i="16"/>
  <c r="D238" i="16" s="1"/>
  <c r="A1" i="10"/>
  <c r="C3" i="12" s="1"/>
  <c r="E9" i="12"/>
  <c r="F9" i="12" s="1"/>
  <c r="G9" i="12" s="1"/>
  <c r="H9" i="12" s="1"/>
  <c r="I9" i="12" s="1"/>
  <c r="J9" i="12" s="1"/>
  <c r="K9" i="12" s="1"/>
  <c r="L9" i="12" s="1"/>
  <c r="M9" i="12" s="1"/>
  <c r="D12" i="12"/>
  <c r="D11" i="12"/>
  <c r="D103" i="12" s="1"/>
  <c r="L10" i="12"/>
  <c r="M10" i="12" s="1"/>
  <c r="D10" i="12"/>
  <c r="D102" i="12" s="1"/>
  <c r="C159" i="16"/>
  <c r="D162" i="16" l="1"/>
  <c r="D176" i="16"/>
  <c r="D163" i="16"/>
  <c r="D177" i="16"/>
  <c r="M164" i="16"/>
  <c r="N164" i="16" s="1"/>
  <c r="O164" i="16" s="1"/>
  <c r="M102" i="12"/>
  <c r="N10" i="12"/>
  <c r="N102" i="12" s="1"/>
  <c r="N9" i="12"/>
  <c r="L102" i="12"/>
  <c r="D208" i="16"/>
  <c r="D132" i="16"/>
  <c r="D100" i="16"/>
  <c r="D209" i="16"/>
  <c r="D133" i="16"/>
  <c r="D101" i="16"/>
  <c r="D68" i="16"/>
  <c r="D36" i="16"/>
  <c r="D69" i="16"/>
  <c r="D37" i="16"/>
  <c r="E6" i="12"/>
  <c r="E7" i="12"/>
  <c r="E4" i="16"/>
  <c r="E238" i="16" s="1"/>
  <c r="E5" i="16"/>
  <c r="E12" i="12"/>
  <c r="F12" i="12" s="1"/>
  <c r="G12" i="12" s="1"/>
  <c r="H12" i="12" s="1"/>
  <c r="I12" i="12" s="1"/>
  <c r="J12" i="12" s="1"/>
  <c r="K12" i="12" s="1"/>
  <c r="L12" i="12" s="1"/>
  <c r="M12" i="12" s="1"/>
  <c r="N12" i="12" s="1"/>
  <c r="C13" i="12"/>
  <c r="E10" i="12"/>
  <c r="E102" i="12" s="1"/>
  <c r="E11" i="12"/>
  <c r="E103" i="12" s="1"/>
  <c r="B2" i="10"/>
  <c r="B418" i="10"/>
  <c r="A470" i="10"/>
  <c r="A54" i="10"/>
  <c r="B54" i="10" s="1"/>
  <c r="C470" i="10"/>
  <c r="C366" i="10"/>
  <c r="C314" i="10"/>
  <c r="C210" i="10"/>
  <c r="C158" i="10"/>
  <c r="C54" i="10"/>
  <c r="O7" i="16"/>
  <c r="L157" i="16"/>
  <c r="N12" i="16"/>
  <c r="N135" i="16"/>
  <c r="O168" i="16"/>
  <c r="M135" i="16"/>
  <c r="H158" i="16"/>
  <c r="G30" i="16"/>
  <c r="N26" i="16"/>
  <c r="M150" i="16"/>
  <c r="M9" i="16"/>
  <c r="L25" i="16"/>
  <c r="O166" i="16"/>
  <c r="O16" i="16"/>
  <c r="M148" i="16"/>
  <c r="L6" i="16"/>
  <c r="L158" i="16"/>
  <c r="L14" i="16"/>
  <c r="L28" i="16"/>
  <c r="N144" i="16"/>
  <c r="N31" i="16"/>
  <c r="M11" i="16"/>
  <c r="N11" i="16"/>
  <c r="F30" i="16"/>
  <c r="N9" i="16"/>
  <c r="L147" i="16"/>
  <c r="O10" i="16"/>
  <c r="M149" i="16"/>
  <c r="L159" i="16"/>
  <c r="L151" i="16"/>
  <c r="O22" i="16"/>
  <c r="O157" i="16"/>
  <c r="O136" i="16"/>
  <c r="N165" i="16"/>
  <c r="N136" i="16"/>
  <c r="N18" i="16"/>
  <c r="O148" i="16"/>
  <c r="K159" i="16"/>
  <c r="N169" i="16"/>
  <c r="N170" i="16"/>
  <c r="E159" i="16"/>
  <c r="L24" i="16"/>
  <c r="O146" i="16"/>
  <c r="M17" i="16"/>
  <c r="O149" i="16"/>
  <c r="M29" i="16"/>
  <c r="N152" i="16"/>
  <c r="L7" i="16"/>
  <c r="H30" i="16"/>
  <c r="M21" i="16"/>
  <c r="O21" i="16"/>
  <c r="M144" i="16"/>
  <c r="L156" i="16"/>
  <c r="O19" i="16"/>
  <c r="L142" i="16"/>
  <c r="L143" i="16"/>
  <c r="N158" i="16"/>
  <c r="O145" i="16"/>
  <c r="M13" i="16"/>
  <c r="L140" i="16"/>
  <c r="N138" i="16"/>
  <c r="N6" i="16"/>
  <c r="N143" i="16"/>
  <c r="O147" i="16"/>
  <c r="L139" i="16"/>
  <c r="C31" i="16"/>
  <c r="J159" i="16"/>
  <c r="O30" i="16"/>
  <c r="L152" i="16"/>
  <c r="N137" i="16"/>
  <c r="L12" i="16"/>
  <c r="O156" i="16"/>
  <c r="I158" i="16"/>
  <c r="L18" i="16"/>
  <c r="M140" i="16"/>
  <c r="F158" i="16"/>
  <c r="N10" i="16"/>
  <c r="N140" i="16"/>
  <c r="M20" i="16"/>
  <c r="M142" i="16"/>
  <c r="O154" i="16"/>
  <c r="C30" i="16"/>
  <c r="K30" i="16"/>
  <c r="M165" i="16"/>
  <c r="N150" i="16"/>
  <c r="O134" i="16"/>
  <c r="M24" i="16"/>
  <c r="G158" i="16"/>
  <c r="N134" i="16"/>
  <c r="O143" i="16"/>
  <c r="M27" i="16"/>
  <c r="M6" i="16"/>
  <c r="M30" i="16"/>
  <c r="M143" i="16"/>
  <c r="O171" i="16"/>
  <c r="E30" i="16"/>
  <c r="C158" i="16"/>
  <c r="L17" i="16"/>
  <c r="M23" i="16"/>
  <c r="N146" i="16"/>
  <c r="N156" i="16"/>
  <c r="J30" i="16"/>
  <c r="M136" i="16"/>
  <c r="N23" i="16"/>
  <c r="J158" i="16"/>
  <c r="E158" i="16"/>
  <c r="M10" i="16"/>
  <c r="M16" i="16"/>
  <c r="O31" i="16"/>
  <c r="O14" i="16"/>
  <c r="M141" i="16"/>
  <c r="L135" i="16"/>
  <c r="M151" i="16"/>
  <c r="M146" i="16"/>
  <c r="M139" i="16"/>
  <c r="N166" i="16"/>
  <c r="L16" i="16"/>
  <c r="D158" i="16"/>
  <c r="J31" i="16"/>
  <c r="O29" i="16"/>
  <c r="N168" i="16"/>
  <c r="M12" i="16"/>
  <c r="N29" i="16"/>
  <c r="M147" i="16"/>
  <c r="O15" i="16"/>
  <c r="O26" i="16"/>
  <c r="N148" i="16"/>
  <c r="N21" i="16"/>
  <c r="L154" i="16"/>
  <c r="M31" i="16"/>
  <c r="N30" i="16"/>
  <c r="L153" i="16"/>
  <c r="N139" i="16"/>
  <c r="O8" i="16"/>
  <c r="O23" i="16"/>
  <c r="O28" i="16"/>
  <c r="O141" i="16"/>
  <c r="M8" i="16"/>
  <c r="M153" i="16"/>
  <c r="M25" i="16"/>
  <c r="N153" i="16"/>
  <c r="N28" i="16"/>
  <c r="N159" i="16"/>
  <c r="O6" i="16"/>
  <c r="O137" i="16"/>
  <c r="M156" i="16"/>
  <c r="N149" i="16"/>
  <c r="L20" i="16"/>
  <c r="N25" i="16"/>
  <c r="O159" i="16"/>
  <c r="N155" i="16"/>
  <c r="L141" i="16"/>
  <c r="N141" i="16"/>
  <c r="O13" i="16"/>
  <c r="N167" i="16"/>
  <c r="K158" i="16"/>
  <c r="N171" i="16"/>
  <c r="O158" i="16"/>
  <c r="O24" i="16"/>
  <c r="N147" i="16"/>
  <c r="L8" i="16"/>
  <c r="D30" i="16"/>
  <c r="L21" i="16"/>
  <c r="N20" i="16"/>
  <c r="N151" i="16"/>
  <c r="L148" i="16"/>
  <c r="M152" i="16"/>
  <c r="O170" i="16"/>
  <c r="L9" i="16"/>
  <c r="L23" i="16"/>
  <c r="F31" i="16"/>
  <c r="N7" i="16"/>
  <c r="M155" i="16"/>
  <c r="O167" i="16"/>
  <c r="M22" i="16"/>
  <c r="L165" i="16"/>
  <c r="L31" i="16"/>
  <c r="E31" i="16"/>
  <c r="L30" i="16"/>
  <c r="O155" i="16"/>
  <c r="H159" i="16"/>
  <c r="M28" i="16"/>
  <c r="L149" i="16"/>
  <c r="L137" i="16"/>
  <c r="N16" i="16"/>
  <c r="L10" i="16"/>
  <c r="L15" i="16"/>
  <c r="O151" i="16"/>
  <c r="M18" i="16"/>
  <c r="G159" i="16"/>
  <c r="D31" i="16"/>
  <c r="D159" i="16"/>
  <c r="M137" i="16"/>
  <c r="N15" i="16"/>
  <c r="O139" i="16"/>
  <c r="L150" i="16"/>
  <c r="N13" i="16"/>
  <c r="O169" i="16"/>
  <c r="O27" i="16"/>
  <c r="N17" i="16"/>
  <c r="N142" i="16"/>
  <c r="L13" i="16"/>
  <c r="O135" i="16"/>
  <c r="N154" i="16"/>
  <c r="O9" i="16"/>
  <c r="O25" i="16"/>
  <c r="I31" i="16"/>
  <c r="L146" i="16"/>
  <c r="M26" i="16"/>
  <c r="M145" i="16"/>
  <c r="O18" i="16"/>
  <c r="L136" i="16"/>
  <c r="M19" i="16"/>
  <c r="G31" i="16"/>
  <c r="N145" i="16"/>
  <c r="O140" i="16"/>
  <c r="N157" i="16"/>
  <c r="O142" i="16"/>
  <c r="N27" i="16"/>
  <c r="L26" i="16"/>
  <c r="N8" i="16"/>
  <c r="O165" i="16"/>
  <c r="I30" i="16"/>
  <c r="M7" i="16"/>
  <c r="N22" i="16"/>
  <c r="O153" i="16"/>
  <c r="F159" i="16"/>
  <c r="O11" i="16"/>
  <c r="L19" i="16"/>
  <c r="M157" i="16"/>
  <c r="M154" i="16"/>
  <c r="M158" i="16"/>
  <c r="L22" i="16"/>
  <c r="M134" i="16"/>
  <c r="L155" i="16"/>
  <c r="N19" i="16"/>
  <c r="N24" i="16"/>
  <c r="K31" i="16"/>
  <c r="O150" i="16"/>
  <c r="L29" i="16"/>
  <c r="L27" i="16"/>
  <c r="O12" i="16"/>
  <c r="M159" i="16"/>
  <c r="I159" i="16"/>
  <c r="M14" i="16"/>
  <c r="O17" i="16"/>
  <c r="O20" i="16"/>
  <c r="O152" i="16"/>
  <c r="N14" i="16"/>
  <c r="O138" i="16"/>
  <c r="L145" i="16"/>
  <c r="M138" i="16"/>
  <c r="H31" i="16"/>
  <c r="L11" i="16"/>
  <c r="M15" i="16"/>
  <c r="O144" i="16"/>
  <c r="O240" i="16" l="1"/>
  <c r="O239" i="16"/>
  <c r="J240" i="16"/>
  <c r="H239" i="16"/>
  <c r="L239" i="16"/>
  <c r="K240" i="16"/>
  <c r="D240" i="16"/>
  <c r="M240" i="16"/>
  <c r="E240" i="16"/>
  <c r="J239" i="16"/>
  <c r="K239" i="16"/>
  <c r="G240" i="16"/>
  <c r="G239" i="16"/>
  <c r="D239" i="16"/>
  <c r="I240" i="16"/>
  <c r="H240" i="16"/>
  <c r="F240" i="16"/>
  <c r="L240" i="16"/>
  <c r="F239" i="16"/>
  <c r="E239" i="16"/>
  <c r="M239" i="16"/>
  <c r="I239" i="16"/>
  <c r="N240" i="16"/>
  <c r="N239" i="16"/>
  <c r="C240" i="16"/>
  <c r="C239" i="16"/>
  <c r="N52" i="16"/>
  <c r="N116" i="16"/>
  <c r="N54" i="16"/>
  <c r="N118" i="16"/>
  <c r="N186" i="16"/>
  <c r="N40" i="16"/>
  <c r="N104" i="16"/>
  <c r="N188" i="16"/>
  <c r="N45" i="16"/>
  <c r="N109" i="16"/>
  <c r="N193" i="16"/>
  <c r="N53" i="16"/>
  <c r="N117" i="16"/>
  <c r="N192" i="16"/>
  <c r="N38" i="16"/>
  <c r="N102" i="16"/>
  <c r="N195" i="16"/>
  <c r="N196" i="16"/>
  <c r="N59" i="16"/>
  <c r="N123" i="16"/>
  <c r="N203" i="16"/>
  <c r="N49" i="16"/>
  <c r="N113" i="16"/>
  <c r="N47" i="16"/>
  <c r="N111" i="16"/>
  <c r="N202" i="16"/>
  <c r="N183" i="16"/>
  <c r="N43" i="16"/>
  <c r="N107" i="16"/>
  <c r="N189" i="16"/>
  <c r="N198" i="16"/>
  <c r="N46" i="16"/>
  <c r="N110" i="16"/>
  <c r="N63" i="16"/>
  <c r="N190" i="16"/>
  <c r="N187" i="16"/>
  <c r="N48" i="16"/>
  <c r="N112" i="16"/>
  <c r="N39" i="16"/>
  <c r="N103" i="16"/>
  <c r="N200" i="16"/>
  <c r="N184" i="16"/>
  <c r="N60" i="16"/>
  <c r="N124" i="16"/>
  <c r="N51" i="16"/>
  <c r="N115" i="16"/>
  <c r="N199" i="16"/>
  <c r="N181" i="16"/>
  <c r="N179" i="16"/>
  <c r="N182" i="16"/>
  <c r="N56" i="16"/>
  <c r="N120" i="16"/>
  <c r="N58" i="16"/>
  <c r="N122" i="16"/>
  <c r="N194" i="16"/>
  <c r="N55" i="16"/>
  <c r="N119" i="16"/>
  <c r="N201" i="16"/>
  <c r="N108" i="16"/>
  <c r="N44" i="16"/>
  <c r="N185" i="16"/>
  <c r="N191" i="16"/>
  <c r="N178" i="16"/>
  <c r="N57" i="16"/>
  <c r="N121" i="16"/>
  <c r="N180" i="16"/>
  <c r="N106" i="16"/>
  <c r="N42" i="16"/>
  <c r="N62" i="16"/>
  <c r="N197" i="16"/>
  <c r="N114" i="16"/>
  <c r="N50" i="16"/>
  <c r="N61" i="16"/>
  <c r="N125" i="16"/>
  <c r="N41" i="16"/>
  <c r="N105" i="16"/>
  <c r="O223" i="16"/>
  <c r="O79" i="16"/>
  <c r="O229" i="16"/>
  <c r="O211" i="16"/>
  <c r="O73" i="16"/>
  <c r="O189" i="16"/>
  <c r="N221" i="16"/>
  <c r="O72" i="16"/>
  <c r="O83" i="16"/>
  <c r="O39" i="16"/>
  <c r="O103" i="16"/>
  <c r="N71" i="16"/>
  <c r="O77" i="16"/>
  <c r="O194" i="16"/>
  <c r="N226" i="16"/>
  <c r="O76" i="16"/>
  <c r="O45" i="16"/>
  <c r="O109" i="16"/>
  <c r="N77" i="16"/>
  <c r="N75" i="16"/>
  <c r="O43" i="16"/>
  <c r="O107" i="16"/>
  <c r="O231" i="16"/>
  <c r="O200" i="16"/>
  <c r="N232" i="16"/>
  <c r="N81" i="16"/>
  <c r="O113" i="16"/>
  <c r="O49" i="16"/>
  <c r="O199" i="16"/>
  <c r="N231" i="16"/>
  <c r="O71" i="16"/>
  <c r="O202" i="16"/>
  <c r="O233" i="16"/>
  <c r="O92" i="16"/>
  <c r="N70" i="16"/>
  <c r="O38" i="16"/>
  <c r="O102" i="16"/>
  <c r="O86" i="16"/>
  <c r="O213" i="16"/>
  <c r="O80" i="16"/>
  <c r="O187" i="16"/>
  <c r="N219" i="16"/>
  <c r="N224" i="16"/>
  <c r="O192" i="16"/>
  <c r="O203" i="16"/>
  <c r="O218" i="16"/>
  <c r="O228" i="16"/>
  <c r="O190" i="16"/>
  <c r="N222" i="16"/>
  <c r="O221" i="16"/>
  <c r="O224" i="16"/>
  <c r="N86" i="16"/>
  <c r="O54" i="16"/>
  <c r="O118" i="16"/>
  <c r="O51" i="16"/>
  <c r="O115" i="16"/>
  <c r="N83" i="16"/>
  <c r="O182" i="16"/>
  <c r="N214" i="16"/>
  <c r="O90" i="16"/>
  <c r="N92" i="16"/>
  <c r="O60" i="16"/>
  <c r="O124" i="16"/>
  <c r="O227" i="16"/>
  <c r="O91" i="16"/>
  <c r="O201" i="16"/>
  <c r="N233" i="16"/>
  <c r="O181" i="16"/>
  <c r="N213" i="16"/>
  <c r="N218" i="16"/>
  <c r="O186" i="16"/>
  <c r="N229" i="16"/>
  <c r="O197" i="16"/>
  <c r="O84" i="16"/>
  <c r="O222" i="16"/>
  <c r="O184" i="16"/>
  <c r="N216" i="16"/>
  <c r="O215" i="16"/>
  <c r="O82" i="16"/>
  <c r="O212" i="16"/>
  <c r="O225" i="16"/>
  <c r="O89" i="16"/>
  <c r="O226" i="16"/>
  <c r="O196" i="16"/>
  <c r="N228" i="16"/>
  <c r="O195" i="16"/>
  <c r="N227" i="16"/>
  <c r="O183" i="16"/>
  <c r="N215" i="16"/>
  <c r="O59" i="16"/>
  <c r="O123" i="16"/>
  <c r="N91" i="16"/>
  <c r="O58" i="16"/>
  <c r="O122" i="16"/>
  <c r="N90" i="16"/>
  <c r="N223" i="16"/>
  <c r="O191" i="16"/>
  <c r="O78" i="16"/>
  <c r="O216" i="16"/>
  <c r="O178" i="16"/>
  <c r="N210" i="16"/>
  <c r="O93" i="16"/>
  <c r="O57" i="16"/>
  <c r="O121" i="16"/>
  <c r="N89" i="16"/>
  <c r="O74" i="16"/>
  <c r="O85" i="16"/>
  <c r="O70" i="16"/>
  <c r="O220" i="16"/>
  <c r="O188" i="16"/>
  <c r="N220" i="16"/>
  <c r="N87" i="16"/>
  <c r="O55" i="16"/>
  <c r="O119" i="16"/>
  <c r="N93" i="16"/>
  <c r="O61" i="16"/>
  <c r="O125" i="16"/>
  <c r="O53" i="16"/>
  <c r="O117" i="16"/>
  <c r="N85" i="16"/>
  <c r="O52" i="16"/>
  <c r="O116" i="16"/>
  <c r="N84" i="16"/>
  <c r="N217" i="16"/>
  <c r="O185" i="16"/>
  <c r="N212" i="16"/>
  <c r="O180" i="16"/>
  <c r="O210" i="16"/>
  <c r="O62" i="16"/>
  <c r="O87" i="16"/>
  <c r="N76" i="16"/>
  <c r="O44" i="16"/>
  <c r="O108" i="16"/>
  <c r="O217" i="16"/>
  <c r="N74" i="16"/>
  <c r="O42" i="16"/>
  <c r="O106" i="16"/>
  <c r="N230" i="16"/>
  <c r="O198" i="16"/>
  <c r="O230" i="16"/>
  <c r="N80" i="16"/>
  <c r="O48" i="16"/>
  <c r="O112" i="16"/>
  <c r="O232" i="16"/>
  <c r="O47" i="16"/>
  <c r="O111" i="16"/>
  <c r="N79" i="16"/>
  <c r="O46" i="16"/>
  <c r="O110" i="16"/>
  <c r="N78" i="16"/>
  <c r="N211" i="16"/>
  <c r="O179" i="16"/>
  <c r="O40" i="16"/>
  <c r="O104" i="16"/>
  <c r="N72" i="16"/>
  <c r="N88" i="16"/>
  <c r="O56" i="16"/>
  <c r="O120" i="16"/>
  <c r="O81" i="16"/>
  <c r="O193" i="16"/>
  <c r="N225" i="16"/>
  <c r="O219" i="16"/>
  <c r="O214" i="16"/>
  <c r="O41" i="16"/>
  <c r="O105" i="16"/>
  <c r="N73" i="16"/>
  <c r="O63" i="16"/>
  <c r="O88" i="16"/>
  <c r="N82" i="16"/>
  <c r="O50" i="16"/>
  <c r="O114" i="16"/>
  <c r="O75" i="16"/>
  <c r="J202" i="16"/>
  <c r="G203" i="16"/>
  <c r="M186" i="16"/>
  <c r="J203" i="16"/>
  <c r="K203" i="16"/>
  <c r="E203" i="16"/>
  <c r="D203" i="16"/>
  <c r="I202" i="16"/>
  <c r="I203" i="16"/>
  <c r="M193" i="16"/>
  <c r="M198" i="16"/>
  <c r="M185" i="16"/>
  <c r="M183" i="16"/>
  <c r="M200" i="16"/>
  <c r="M202" i="16"/>
  <c r="M180" i="16"/>
  <c r="M189" i="16"/>
  <c r="M184" i="16"/>
  <c r="M191" i="16"/>
  <c r="F203" i="16"/>
  <c r="M194" i="16"/>
  <c r="M179" i="16"/>
  <c r="L202" i="16"/>
  <c r="K202" i="16"/>
  <c r="H202" i="16"/>
  <c r="M197" i="16"/>
  <c r="M195" i="16"/>
  <c r="M192" i="16"/>
  <c r="F202" i="16"/>
  <c r="E202" i="16"/>
  <c r="L203" i="16"/>
  <c r="G202" i="16"/>
  <c r="M203" i="16"/>
  <c r="H203" i="16"/>
  <c r="M201" i="16"/>
  <c r="M181" i="16"/>
  <c r="D202" i="16"/>
  <c r="M196" i="16"/>
  <c r="M187" i="16"/>
  <c r="M199" i="16"/>
  <c r="M190" i="16"/>
  <c r="E162" i="16"/>
  <c r="E176" i="16"/>
  <c r="E163" i="16"/>
  <c r="E177" i="16"/>
  <c r="G62" i="16"/>
  <c r="L62" i="16"/>
  <c r="K63" i="16"/>
  <c r="G63" i="16"/>
  <c r="M63" i="16"/>
  <c r="J63" i="16"/>
  <c r="J62" i="16"/>
  <c r="E63" i="16"/>
  <c r="M62" i="16"/>
  <c r="L63" i="16"/>
  <c r="F62" i="16"/>
  <c r="D63" i="16"/>
  <c r="I62" i="16"/>
  <c r="I63" i="16"/>
  <c r="H62" i="16"/>
  <c r="E62" i="16"/>
  <c r="F63" i="16"/>
  <c r="K62" i="16"/>
  <c r="H63" i="16"/>
  <c r="D62" i="16"/>
  <c r="M121" i="16"/>
  <c r="M57" i="16"/>
  <c r="M103" i="16"/>
  <c r="M39" i="16"/>
  <c r="M41" i="16"/>
  <c r="M105" i="16"/>
  <c r="M58" i="16"/>
  <c r="M122" i="16"/>
  <c r="M112" i="16"/>
  <c r="M48" i="16"/>
  <c r="M124" i="16"/>
  <c r="M60" i="16"/>
  <c r="M50" i="16"/>
  <c r="M114" i="16"/>
  <c r="M53" i="16"/>
  <c r="M117" i="16"/>
  <c r="M38" i="16"/>
  <c r="M102" i="16"/>
  <c r="M119" i="16"/>
  <c r="M55" i="16"/>
  <c r="M109" i="16"/>
  <c r="M45" i="16"/>
  <c r="M107" i="16"/>
  <c r="M43" i="16"/>
  <c r="M113" i="16"/>
  <c r="M49" i="16"/>
  <c r="M115" i="16"/>
  <c r="M51" i="16"/>
  <c r="M52" i="16"/>
  <c r="M116" i="16"/>
  <c r="M125" i="16"/>
  <c r="M61" i="16"/>
  <c r="M44" i="16"/>
  <c r="M108" i="16"/>
  <c r="M40" i="16"/>
  <c r="M104" i="16"/>
  <c r="M46" i="16"/>
  <c r="M110" i="16"/>
  <c r="M56" i="16"/>
  <c r="M120" i="16"/>
  <c r="M118" i="16"/>
  <c r="M54" i="16"/>
  <c r="M59" i="16"/>
  <c r="M123" i="16"/>
  <c r="M106" i="16"/>
  <c r="M42" i="16"/>
  <c r="M47" i="16"/>
  <c r="M111" i="16"/>
  <c r="M232" i="16"/>
  <c r="M87" i="16"/>
  <c r="M214" i="16"/>
  <c r="M223" i="16"/>
  <c r="M76" i="16"/>
  <c r="M221" i="16"/>
  <c r="M85" i="16"/>
  <c r="M75" i="16"/>
  <c r="M230" i="16"/>
  <c r="M91" i="16"/>
  <c r="M228" i="16"/>
  <c r="M224" i="16"/>
  <c r="M72" i="16"/>
  <c r="M82" i="16"/>
  <c r="M81" i="16"/>
  <c r="M79" i="16"/>
  <c r="M215" i="16"/>
  <c r="M226" i="16"/>
  <c r="M70" i="16"/>
  <c r="M73" i="16"/>
  <c r="M222" i="16"/>
  <c r="M218" i="16"/>
  <c r="M213" i="16"/>
  <c r="M211" i="16"/>
  <c r="M216" i="16"/>
  <c r="M212" i="16"/>
  <c r="M217" i="16"/>
  <c r="M93" i="16"/>
  <c r="M88" i="16"/>
  <c r="M210" i="16"/>
  <c r="M92" i="16"/>
  <c r="M71" i="16"/>
  <c r="M229" i="16"/>
  <c r="M233" i="16"/>
  <c r="M90" i="16"/>
  <c r="M231" i="16"/>
  <c r="M86" i="16"/>
  <c r="M227" i="16"/>
  <c r="M220" i="16"/>
  <c r="M84" i="16"/>
  <c r="M225" i="16"/>
  <c r="M80" i="16"/>
  <c r="M77" i="16"/>
  <c r="M89" i="16"/>
  <c r="M83" i="16"/>
  <c r="M78" i="16"/>
  <c r="M219" i="16"/>
  <c r="M74" i="16"/>
  <c r="B470" i="10"/>
  <c r="A522" i="10"/>
  <c r="L232" i="16"/>
  <c r="L92" i="16"/>
  <c r="L76" i="16"/>
  <c r="L222" i="16"/>
  <c r="L90" i="16"/>
  <c r="L74" i="16"/>
  <c r="L233" i="16"/>
  <c r="L217" i="16"/>
  <c r="L93" i="16"/>
  <c r="L85" i="16"/>
  <c r="L77" i="16"/>
  <c r="L228" i="16"/>
  <c r="L212" i="16"/>
  <c r="L88" i="16"/>
  <c r="L80" i="16"/>
  <c r="L72" i="16"/>
  <c r="L231" i="16"/>
  <c r="L223" i="16"/>
  <c r="L215" i="16"/>
  <c r="L91" i="16"/>
  <c r="L83" i="16"/>
  <c r="L75" i="16"/>
  <c r="L216" i="16"/>
  <c r="L84" i="16"/>
  <c r="L230" i="16"/>
  <c r="L82" i="16"/>
  <c r="L225" i="16"/>
  <c r="L226" i="16"/>
  <c r="L218" i="16"/>
  <c r="L86" i="16"/>
  <c r="L78" i="16"/>
  <c r="L70" i="16"/>
  <c r="L229" i="16"/>
  <c r="L221" i="16"/>
  <c r="L213" i="16"/>
  <c r="L89" i="16"/>
  <c r="L81" i="16"/>
  <c r="L73" i="16"/>
  <c r="L224" i="16"/>
  <c r="L227" i="16"/>
  <c r="L219" i="16"/>
  <c r="L211" i="16"/>
  <c r="L87" i="16"/>
  <c r="L79" i="16"/>
  <c r="L71" i="16"/>
  <c r="E209" i="16"/>
  <c r="E133" i="16"/>
  <c r="E101" i="16"/>
  <c r="E208" i="16"/>
  <c r="E132" i="16"/>
  <c r="E100" i="16"/>
  <c r="E36" i="16"/>
  <c r="E68" i="16"/>
  <c r="E37" i="16"/>
  <c r="E69" i="16"/>
  <c r="F4" i="16"/>
  <c r="F238" i="16" s="1"/>
  <c r="F5" i="16"/>
  <c r="D13" i="12"/>
  <c r="C14" i="12"/>
  <c r="F10" i="12"/>
  <c r="F102" i="12" s="1"/>
  <c r="F11" i="12"/>
  <c r="F103" i="12" s="1"/>
  <c r="A106" i="10"/>
  <c r="B106" i="10" s="1"/>
  <c r="L144" i="16"/>
  <c r="L138" i="16"/>
  <c r="L134" i="16"/>
  <c r="N241" i="16" l="1"/>
  <c r="K241" i="16"/>
  <c r="M241" i="16"/>
  <c r="I241" i="16"/>
  <c r="J241" i="16"/>
  <c r="E241" i="16"/>
  <c r="F241" i="16"/>
  <c r="C241" i="16"/>
  <c r="D241" i="16"/>
  <c r="O241" i="16"/>
  <c r="G241" i="16"/>
  <c r="L241" i="16"/>
  <c r="H241" i="16"/>
  <c r="M182" i="16"/>
  <c r="M178" i="16"/>
  <c r="M188" i="16"/>
  <c r="F162" i="16"/>
  <c r="F176" i="16"/>
  <c r="F163" i="16"/>
  <c r="F177" i="16"/>
  <c r="B522" i="10"/>
  <c r="A574" i="10"/>
  <c r="L214" i="16"/>
  <c r="L210" i="16"/>
  <c r="L220" i="16"/>
  <c r="F209" i="16"/>
  <c r="F133" i="16"/>
  <c r="F101" i="16"/>
  <c r="F208" i="16"/>
  <c r="F132" i="16"/>
  <c r="F100" i="16"/>
  <c r="F37" i="16"/>
  <c r="F69" i="16"/>
  <c r="F68" i="16"/>
  <c r="F36" i="16"/>
  <c r="E13" i="12"/>
  <c r="G5" i="16"/>
  <c r="G4" i="16"/>
  <c r="G238" i="16" s="1"/>
  <c r="C15" i="12"/>
  <c r="D14" i="12"/>
  <c r="G11" i="12"/>
  <c r="G103" i="12" s="1"/>
  <c r="G10" i="12"/>
  <c r="G102" i="12" s="1"/>
  <c r="A158" i="10"/>
  <c r="A210" i="10" s="1"/>
  <c r="B574" i="10" l="1"/>
  <c r="A626" i="10"/>
  <c r="B626" i="10" s="1"/>
  <c r="G163" i="16"/>
  <c r="G177" i="16"/>
  <c r="G162" i="16"/>
  <c r="G176" i="16"/>
  <c r="G208" i="16"/>
  <c r="G132" i="16"/>
  <c r="G100" i="16"/>
  <c r="G209" i="16"/>
  <c r="G133" i="16"/>
  <c r="G101" i="16"/>
  <c r="G69" i="16"/>
  <c r="G37" i="16"/>
  <c r="G68" i="16"/>
  <c r="G36" i="16"/>
  <c r="F13" i="12"/>
  <c r="E14" i="12"/>
  <c r="H5" i="16"/>
  <c r="H4" i="16"/>
  <c r="H238" i="16" s="1"/>
  <c r="C16" i="12"/>
  <c r="D15" i="12"/>
  <c r="H11" i="12"/>
  <c r="H103" i="12" s="1"/>
  <c r="H10" i="12"/>
  <c r="H102" i="12" s="1"/>
  <c r="B158" i="10"/>
  <c r="A262" i="10"/>
  <c r="B210" i="10"/>
  <c r="H176" i="16" l="1"/>
  <c r="H163" i="16"/>
  <c r="H177" i="16"/>
  <c r="H162" i="16"/>
  <c r="H209" i="16"/>
  <c r="H133" i="16"/>
  <c r="H101" i="16"/>
  <c r="H208" i="16"/>
  <c r="H132" i="16"/>
  <c r="H100" i="16"/>
  <c r="H68" i="16"/>
  <c r="H36" i="16"/>
  <c r="H69" i="16"/>
  <c r="H37" i="16"/>
  <c r="G13" i="12"/>
  <c r="E15" i="12"/>
  <c r="F14" i="12"/>
  <c r="I4" i="16"/>
  <c r="I238" i="16" s="1"/>
  <c r="I5" i="16"/>
  <c r="C17" i="12"/>
  <c r="D16" i="12"/>
  <c r="I11" i="12"/>
  <c r="I103" i="12" s="1"/>
  <c r="I10" i="12"/>
  <c r="I102" i="12" s="1"/>
  <c r="A314" i="10"/>
  <c r="B262" i="10"/>
  <c r="G134" i="16"/>
  <c r="G20" i="16"/>
  <c r="G135" i="16"/>
  <c r="C149" i="16"/>
  <c r="I21" i="16"/>
  <c r="H19" i="16"/>
  <c r="J145" i="16"/>
  <c r="E7" i="16"/>
  <c r="F23" i="16"/>
  <c r="E20" i="16"/>
  <c r="H17" i="16"/>
  <c r="D155" i="16"/>
  <c r="G10" i="16"/>
  <c r="H27" i="16"/>
  <c r="J151" i="16"/>
  <c r="D143" i="16"/>
  <c r="J138" i="16"/>
  <c r="G154" i="16"/>
  <c r="H141" i="16"/>
  <c r="J12" i="16"/>
  <c r="E12" i="16"/>
  <c r="K21" i="16"/>
  <c r="D20" i="16"/>
  <c r="G145" i="16"/>
  <c r="F14" i="16"/>
  <c r="G153" i="16"/>
  <c r="E137" i="16"/>
  <c r="I140" i="16"/>
  <c r="H13" i="16"/>
  <c r="J143" i="16"/>
  <c r="I6" i="16"/>
  <c r="J135" i="16"/>
  <c r="C8" i="16"/>
  <c r="H140" i="16"/>
  <c r="E149" i="16"/>
  <c r="K28" i="16"/>
  <c r="J10" i="16"/>
  <c r="F134" i="16"/>
  <c r="D27" i="16"/>
  <c r="I152" i="16"/>
  <c r="E6" i="16"/>
  <c r="E143" i="16"/>
  <c r="I155" i="16"/>
  <c r="F142" i="16"/>
  <c r="K142" i="16"/>
  <c r="F155" i="16"/>
  <c r="I9" i="16"/>
  <c r="K12" i="16"/>
  <c r="D141" i="16"/>
  <c r="H10" i="16"/>
  <c r="E155" i="16"/>
  <c r="E25" i="16"/>
  <c r="E134" i="16"/>
  <c r="I143" i="16"/>
  <c r="G140" i="16"/>
  <c r="H26" i="16"/>
  <c r="I17" i="16"/>
  <c r="K150" i="16"/>
  <c r="J147" i="16"/>
  <c r="I150" i="16"/>
  <c r="G147" i="16"/>
  <c r="H20" i="16"/>
  <c r="I25" i="16"/>
  <c r="E28" i="16"/>
  <c r="D11" i="16"/>
  <c r="F156" i="16"/>
  <c r="D152" i="16"/>
  <c r="E165" i="16"/>
  <c r="G24" i="16"/>
  <c r="F25" i="16"/>
  <c r="H143" i="16"/>
  <c r="G141" i="16"/>
  <c r="D135" i="16"/>
  <c r="I149" i="16"/>
  <c r="G156" i="16"/>
  <c r="D13" i="16"/>
  <c r="K27" i="16"/>
  <c r="H145" i="16"/>
  <c r="H155" i="16"/>
  <c r="K155" i="16"/>
  <c r="K6" i="16"/>
  <c r="D25" i="16"/>
  <c r="E13" i="16"/>
  <c r="K147" i="16"/>
  <c r="G155" i="16"/>
  <c r="I20" i="16"/>
  <c r="C143" i="16"/>
  <c r="E29" i="16"/>
  <c r="H144" i="16"/>
  <c r="F20" i="16"/>
  <c r="F165" i="16"/>
  <c r="F141" i="16"/>
  <c r="J24" i="16"/>
  <c r="E8" i="16"/>
  <c r="K9" i="16"/>
  <c r="K151" i="16"/>
  <c r="I148" i="16"/>
  <c r="J155" i="16"/>
  <c r="K18" i="16"/>
  <c r="H24" i="16"/>
  <c r="G138" i="16"/>
  <c r="H157" i="16"/>
  <c r="K138" i="16"/>
  <c r="F137" i="16"/>
  <c r="E16" i="16"/>
  <c r="K148" i="16"/>
  <c r="K10" i="16"/>
  <c r="I144" i="16"/>
  <c r="J25" i="16"/>
  <c r="G12" i="16"/>
  <c r="K146" i="16"/>
  <c r="I18" i="16"/>
  <c r="C17" i="16"/>
  <c r="E152" i="16"/>
  <c r="H8" i="16"/>
  <c r="C16" i="16"/>
  <c r="I137" i="16"/>
  <c r="H16" i="16"/>
  <c r="D9" i="16"/>
  <c r="I134" i="16"/>
  <c r="C151" i="16"/>
  <c r="E140" i="16"/>
  <c r="F13" i="16"/>
  <c r="H135" i="16"/>
  <c r="C15" i="16"/>
  <c r="I29" i="16"/>
  <c r="G150" i="16"/>
  <c r="C22" i="16"/>
  <c r="F149" i="16"/>
  <c r="F10" i="16"/>
  <c r="K7" i="16"/>
  <c r="J11" i="16"/>
  <c r="J15" i="16"/>
  <c r="D17" i="16"/>
  <c r="J153" i="16"/>
  <c r="G152" i="16"/>
  <c r="I139" i="16"/>
  <c r="C165" i="16"/>
  <c r="C27" i="16"/>
  <c r="D144" i="16"/>
  <c r="C20" i="16"/>
  <c r="D138" i="16"/>
  <c r="H11" i="16"/>
  <c r="I26" i="16"/>
  <c r="K25" i="16"/>
  <c r="C25" i="16"/>
  <c r="C150" i="16"/>
  <c r="F18" i="16"/>
  <c r="D8" i="16"/>
  <c r="C155" i="16"/>
  <c r="D137" i="16"/>
  <c r="D15" i="16"/>
  <c r="H7" i="16"/>
  <c r="E156" i="16"/>
  <c r="J136" i="16"/>
  <c r="K135" i="16"/>
  <c r="D16" i="16"/>
  <c r="I10" i="16"/>
  <c r="I154" i="16"/>
  <c r="F12" i="16"/>
  <c r="C140" i="16"/>
  <c r="H28" i="16"/>
  <c r="D23" i="16"/>
  <c r="E19" i="16"/>
  <c r="G18" i="16"/>
  <c r="I151" i="16"/>
  <c r="K29" i="16"/>
  <c r="G8" i="16"/>
  <c r="D19" i="16"/>
  <c r="D147" i="16"/>
  <c r="F157" i="16"/>
  <c r="F140" i="16"/>
  <c r="C139" i="16"/>
  <c r="J146" i="16"/>
  <c r="I138" i="16"/>
  <c r="G148" i="16"/>
  <c r="I19" i="16"/>
  <c r="C21" i="16"/>
  <c r="J141" i="16"/>
  <c r="K24" i="16"/>
  <c r="F145" i="16"/>
  <c r="H165" i="16"/>
  <c r="E21" i="16"/>
  <c r="K16" i="16"/>
  <c r="K145" i="16"/>
  <c r="J21" i="16"/>
  <c r="E14" i="16"/>
  <c r="I156" i="16"/>
  <c r="I12" i="16"/>
  <c r="G27" i="16"/>
  <c r="G26" i="16"/>
  <c r="C7" i="16"/>
  <c r="C146" i="16"/>
  <c r="D149" i="16"/>
  <c r="K11" i="16"/>
  <c r="D28" i="16"/>
  <c r="I28" i="16"/>
  <c r="I136" i="16"/>
  <c r="E23" i="16"/>
  <c r="D146" i="16"/>
  <c r="E148" i="16"/>
  <c r="J137" i="16"/>
  <c r="E17" i="16"/>
  <c r="J165" i="16"/>
  <c r="I7" i="16"/>
  <c r="H150" i="16"/>
  <c r="D148" i="16"/>
  <c r="H21" i="16"/>
  <c r="D6" i="16"/>
  <c r="G146" i="16"/>
  <c r="C14" i="16"/>
  <c r="I135" i="16"/>
  <c r="C154" i="16"/>
  <c r="H137" i="16"/>
  <c r="F6" i="16"/>
  <c r="G6" i="16"/>
  <c r="D14" i="16"/>
  <c r="F26" i="16"/>
  <c r="K152" i="16"/>
  <c r="G11" i="16"/>
  <c r="E15" i="16"/>
  <c r="E146" i="16"/>
  <c r="E9" i="16"/>
  <c r="E142" i="16"/>
  <c r="J22" i="16"/>
  <c r="G22" i="16"/>
  <c r="D7" i="16"/>
  <c r="D24" i="16"/>
  <c r="I146" i="16"/>
  <c r="G13" i="16"/>
  <c r="G28" i="16"/>
  <c r="J17" i="16"/>
  <c r="F7" i="16"/>
  <c r="H147" i="16"/>
  <c r="K20" i="16"/>
  <c r="C148" i="16"/>
  <c r="F16" i="16"/>
  <c r="C134" i="16"/>
  <c r="J23" i="16"/>
  <c r="E153" i="16"/>
  <c r="H152" i="16"/>
  <c r="D10" i="16"/>
  <c r="G143" i="16"/>
  <c r="E22" i="16"/>
  <c r="E24" i="16"/>
  <c r="H9" i="16"/>
  <c r="C147" i="16"/>
  <c r="I141" i="16"/>
  <c r="K22" i="16"/>
  <c r="K154" i="16"/>
  <c r="F151" i="16"/>
  <c r="G142" i="16"/>
  <c r="C141" i="16"/>
  <c r="H149" i="16"/>
  <c r="J150" i="16"/>
  <c r="E136" i="16"/>
  <c r="J14" i="16"/>
  <c r="C136" i="16"/>
  <c r="H139" i="16"/>
  <c r="H25" i="16"/>
  <c r="C12" i="16"/>
  <c r="G16" i="16"/>
  <c r="C152" i="16"/>
  <c r="K157" i="16"/>
  <c r="H18" i="16"/>
  <c r="K14" i="16"/>
  <c r="F15" i="16"/>
  <c r="H148" i="16"/>
  <c r="K156" i="16"/>
  <c r="J144" i="16"/>
  <c r="C11" i="16"/>
  <c r="D145" i="16"/>
  <c r="J134" i="16"/>
  <c r="I16" i="16"/>
  <c r="K140" i="16"/>
  <c r="E150" i="16"/>
  <c r="G21" i="16"/>
  <c r="D165" i="16"/>
  <c r="D21" i="16"/>
  <c r="J27" i="16"/>
  <c r="G23" i="16"/>
  <c r="E147" i="16"/>
  <c r="H134" i="16"/>
  <c r="J157" i="16"/>
  <c r="E27" i="16"/>
  <c r="E154" i="16"/>
  <c r="F139" i="16"/>
  <c r="K165" i="16"/>
  <c r="K17" i="16"/>
  <c r="K149" i="16"/>
  <c r="G157" i="16"/>
  <c r="F143" i="16"/>
  <c r="J148" i="16"/>
  <c r="F28" i="16"/>
  <c r="F29" i="16"/>
  <c r="H22" i="16"/>
  <c r="G165" i="16"/>
  <c r="H138" i="16"/>
  <c r="G29" i="16"/>
  <c r="F27" i="16"/>
  <c r="K26" i="16"/>
  <c r="K13" i="16"/>
  <c r="I27" i="16"/>
  <c r="H12" i="16"/>
  <c r="F8" i="16"/>
  <c r="C153" i="16"/>
  <c r="J26" i="16"/>
  <c r="G136" i="16"/>
  <c r="J8" i="16"/>
  <c r="G7" i="16"/>
  <c r="G9" i="16"/>
  <c r="E135" i="16"/>
  <c r="F138" i="16"/>
  <c r="K134" i="16"/>
  <c r="E138" i="16"/>
  <c r="H136" i="16"/>
  <c r="G25" i="16"/>
  <c r="F150" i="16"/>
  <c r="C26" i="16"/>
  <c r="G17" i="16"/>
  <c r="D150" i="16"/>
  <c r="J19" i="16"/>
  <c r="C6" i="16"/>
  <c r="J28" i="16"/>
  <c r="K144" i="16"/>
  <c r="F21" i="16"/>
  <c r="F154" i="16"/>
  <c r="D154" i="16"/>
  <c r="F19" i="16"/>
  <c r="C10" i="16"/>
  <c r="F135" i="16"/>
  <c r="H142" i="16"/>
  <c r="J149" i="16"/>
  <c r="J13" i="16"/>
  <c r="E18" i="16"/>
  <c r="C24" i="16"/>
  <c r="K153" i="16"/>
  <c r="G137" i="16"/>
  <c r="C138" i="16"/>
  <c r="E139" i="16"/>
  <c r="F147" i="16"/>
  <c r="H151" i="16"/>
  <c r="I157" i="16"/>
  <c r="G139" i="16"/>
  <c r="D22" i="16"/>
  <c r="E157" i="16"/>
  <c r="C156" i="16"/>
  <c r="G15" i="16"/>
  <c r="H156" i="16"/>
  <c r="C142" i="16"/>
  <c r="F24" i="16"/>
  <c r="J16" i="16"/>
  <c r="K23" i="16"/>
  <c r="C19" i="16"/>
  <c r="F144" i="16"/>
  <c r="I145" i="16"/>
  <c r="D136" i="16"/>
  <c r="J142" i="16"/>
  <c r="J18" i="16"/>
  <c r="J139" i="16"/>
  <c r="J154" i="16"/>
  <c r="J156" i="16"/>
  <c r="C135" i="16"/>
  <c r="E151" i="16"/>
  <c r="J29" i="16"/>
  <c r="H23" i="16"/>
  <c r="E144" i="16"/>
  <c r="H6" i="16"/>
  <c r="C144" i="16"/>
  <c r="J6" i="16"/>
  <c r="K137" i="16"/>
  <c r="H14" i="16"/>
  <c r="I11" i="16"/>
  <c r="J20" i="16"/>
  <c r="F22" i="16"/>
  <c r="K15" i="16"/>
  <c r="K19" i="16"/>
  <c r="J152" i="16"/>
  <c r="I13" i="16"/>
  <c r="E26" i="16"/>
  <c r="C137" i="16"/>
  <c r="E10" i="16"/>
  <c r="D12" i="16"/>
  <c r="K143" i="16"/>
  <c r="C13" i="16"/>
  <c r="F17" i="16"/>
  <c r="C157" i="16"/>
  <c r="C23" i="16"/>
  <c r="J9" i="16"/>
  <c r="F136" i="16"/>
  <c r="F152" i="16"/>
  <c r="D151" i="16"/>
  <c r="C145" i="16"/>
  <c r="E145" i="16"/>
  <c r="K141" i="16"/>
  <c r="G149" i="16"/>
  <c r="I165" i="16"/>
  <c r="K136" i="16"/>
  <c r="F146" i="16"/>
  <c r="K8" i="16"/>
  <c r="J140" i="16"/>
  <c r="I15" i="16"/>
  <c r="D139" i="16"/>
  <c r="G14" i="16"/>
  <c r="C18" i="16"/>
  <c r="I24" i="16"/>
  <c r="G144" i="16"/>
  <c r="C29" i="16"/>
  <c r="D134" i="16"/>
  <c r="D156" i="16"/>
  <c r="I153" i="16"/>
  <c r="J7" i="16"/>
  <c r="C9" i="16"/>
  <c r="F9" i="16"/>
  <c r="I23" i="16"/>
  <c r="E11" i="16"/>
  <c r="K139" i="16"/>
  <c r="H146" i="16"/>
  <c r="H15" i="16"/>
  <c r="F11" i="16"/>
  <c r="G19" i="16"/>
  <c r="I142" i="16"/>
  <c r="H29" i="16"/>
  <c r="D29" i="16"/>
  <c r="D142" i="16"/>
  <c r="H154" i="16"/>
  <c r="F148" i="16"/>
  <c r="E141" i="16"/>
  <c r="F153" i="16"/>
  <c r="I147" i="16"/>
  <c r="I8" i="16"/>
  <c r="G151" i="16"/>
  <c r="D140" i="16"/>
  <c r="H153" i="16"/>
  <c r="I22" i="16"/>
  <c r="D26" i="16"/>
  <c r="D153" i="16"/>
  <c r="C28" i="16"/>
  <c r="D18" i="16"/>
  <c r="I14" i="16"/>
  <c r="D157" i="16"/>
  <c r="G199" i="16" l="1"/>
  <c r="E181" i="16"/>
  <c r="K200" i="16"/>
  <c r="D192" i="16"/>
  <c r="E193" i="16"/>
  <c r="E201" i="16"/>
  <c r="F179" i="16"/>
  <c r="K186" i="16"/>
  <c r="H183" i="16"/>
  <c r="J198" i="16"/>
  <c r="H182" i="16"/>
  <c r="E187" i="16"/>
  <c r="E182" i="16"/>
  <c r="K184" i="16"/>
  <c r="J186" i="16"/>
  <c r="I188" i="16"/>
  <c r="I200" i="16"/>
  <c r="I182" i="16"/>
  <c r="H191" i="16"/>
  <c r="K182" i="16"/>
  <c r="J201" i="16"/>
  <c r="K185" i="16"/>
  <c r="G182" i="16"/>
  <c r="E185" i="16"/>
  <c r="G178" i="16"/>
  <c r="D196" i="16"/>
  <c r="D188" i="16"/>
  <c r="D197" i="16"/>
  <c r="H185" i="16"/>
  <c r="F185" i="16"/>
  <c r="K178" i="16"/>
  <c r="K197" i="16"/>
  <c r="E194" i="16"/>
  <c r="I192" i="16"/>
  <c r="D189" i="16"/>
  <c r="F200" i="16"/>
  <c r="J192" i="16"/>
  <c r="D186" i="16"/>
  <c r="G193" i="16"/>
  <c r="L183" i="16"/>
  <c r="H201" i="16"/>
  <c r="F184" i="16"/>
  <c r="K193" i="16"/>
  <c r="E196" i="16"/>
  <c r="H198" i="16"/>
  <c r="G180" i="16"/>
  <c r="K179" i="16"/>
  <c r="L188" i="16"/>
  <c r="H188" i="16"/>
  <c r="L200" i="16"/>
  <c r="F197" i="16"/>
  <c r="I185" i="16"/>
  <c r="F181" i="16"/>
  <c r="L193" i="16"/>
  <c r="J184" i="16"/>
  <c r="E188" i="16"/>
  <c r="J193" i="16"/>
  <c r="F199" i="16"/>
  <c r="L186" i="16"/>
  <c r="J190" i="16"/>
  <c r="G191" i="16"/>
  <c r="E190" i="16"/>
  <c r="I180" i="16"/>
  <c r="H195" i="16"/>
  <c r="H194" i="16"/>
  <c r="K181" i="16"/>
  <c r="J183" i="16"/>
  <c r="L192" i="16"/>
  <c r="I195" i="16"/>
  <c r="L197" i="16"/>
  <c r="F194" i="16"/>
  <c r="H196" i="16"/>
  <c r="E183" i="16"/>
  <c r="G192" i="16"/>
  <c r="D193" i="16"/>
  <c r="D200" i="16"/>
  <c r="L182" i="16"/>
  <c r="H181" i="16"/>
  <c r="G186" i="16"/>
  <c r="L194" i="16"/>
  <c r="E200" i="16"/>
  <c r="H184" i="16"/>
  <c r="H178" i="16"/>
  <c r="I179" i="16"/>
  <c r="F178" i="16"/>
  <c r="J188" i="16"/>
  <c r="H189" i="16"/>
  <c r="D185" i="16"/>
  <c r="D182" i="16"/>
  <c r="J180" i="16"/>
  <c r="E197" i="16"/>
  <c r="I186" i="16"/>
  <c r="J195" i="16"/>
  <c r="L178" i="16"/>
  <c r="K190" i="16"/>
  <c r="E189" i="16"/>
  <c r="F195" i="16"/>
  <c r="J185" i="16"/>
  <c r="H199" i="16"/>
  <c r="G190" i="16"/>
  <c r="D199" i="16"/>
  <c r="E191" i="16"/>
  <c r="I191" i="16"/>
  <c r="E180" i="16"/>
  <c r="J178" i="16"/>
  <c r="H200" i="16"/>
  <c r="I193" i="16"/>
  <c r="L189" i="16"/>
  <c r="H193" i="16"/>
  <c r="G194" i="16"/>
  <c r="J187" i="16"/>
  <c r="K195" i="16"/>
  <c r="E186" i="16"/>
  <c r="E184" i="16"/>
  <c r="H187" i="16"/>
  <c r="K187" i="16"/>
  <c r="G200" i="16"/>
  <c r="J179" i="16"/>
  <c r="D179" i="16"/>
  <c r="H192" i="16"/>
  <c r="G195" i="16"/>
  <c r="E179" i="16"/>
  <c r="I181" i="16"/>
  <c r="F191" i="16"/>
  <c r="K199" i="16"/>
  <c r="L187" i="16"/>
  <c r="E195" i="16"/>
  <c r="F190" i="16"/>
  <c r="L195" i="16"/>
  <c r="F193" i="16"/>
  <c r="K198" i="16"/>
  <c r="F196" i="16"/>
  <c r="F189" i="16"/>
  <c r="L179" i="16"/>
  <c r="D181" i="16"/>
  <c r="F188" i="16"/>
  <c r="D191" i="16"/>
  <c r="F182" i="16"/>
  <c r="J194" i="16"/>
  <c r="G198" i="16"/>
  <c r="K201" i="16"/>
  <c r="G184" i="16"/>
  <c r="I187" i="16"/>
  <c r="I197" i="16"/>
  <c r="L198" i="16"/>
  <c r="G179" i="16"/>
  <c r="K189" i="16"/>
  <c r="I178" i="16"/>
  <c r="D183" i="16"/>
  <c r="I196" i="16"/>
  <c r="D187" i="16"/>
  <c r="L180" i="16"/>
  <c r="G189" i="16"/>
  <c r="E192" i="16"/>
  <c r="D184" i="16"/>
  <c r="F180" i="16"/>
  <c r="D190" i="16"/>
  <c r="L191" i="16"/>
  <c r="I184" i="16"/>
  <c r="J200" i="16"/>
  <c r="H197" i="16"/>
  <c r="L199" i="16"/>
  <c r="K183" i="16"/>
  <c r="H179" i="16"/>
  <c r="E198" i="16"/>
  <c r="K192" i="16"/>
  <c r="G183" i="16"/>
  <c r="L196" i="16"/>
  <c r="J191" i="16"/>
  <c r="G185" i="16"/>
  <c r="K188" i="16"/>
  <c r="J181" i="16"/>
  <c r="D198" i="16"/>
  <c r="K196" i="16"/>
  <c r="E178" i="16"/>
  <c r="F183" i="16"/>
  <c r="I194" i="16"/>
  <c r="L185" i="16"/>
  <c r="K194" i="16"/>
  <c r="K180" i="16"/>
  <c r="H190" i="16"/>
  <c r="I199" i="16"/>
  <c r="G187" i="16"/>
  <c r="H186" i="16"/>
  <c r="L190" i="16"/>
  <c r="J182" i="16"/>
  <c r="J189" i="16"/>
  <c r="I201" i="16"/>
  <c r="G181" i="16"/>
  <c r="F198" i="16"/>
  <c r="D194" i="16"/>
  <c r="L184" i="16"/>
  <c r="F201" i="16"/>
  <c r="D201" i="16"/>
  <c r="G197" i="16"/>
  <c r="D180" i="16"/>
  <c r="K191" i="16"/>
  <c r="F186" i="16"/>
  <c r="I190" i="16"/>
  <c r="F187" i="16"/>
  <c r="I189" i="16"/>
  <c r="G201" i="16"/>
  <c r="G188" i="16"/>
  <c r="G196" i="16"/>
  <c r="I183" i="16"/>
  <c r="H180" i="16"/>
  <c r="L181" i="16"/>
  <c r="J197" i="16"/>
  <c r="J196" i="16"/>
  <c r="E199" i="16"/>
  <c r="I198" i="16"/>
  <c r="F192" i="16"/>
  <c r="L201" i="16"/>
  <c r="D195" i="16"/>
  <c r="J199" i="16"/>
  <c r="D178" i="16"/>
  <c r="I163" i="16"/>
  <c r="I177" i="16"/>
  <c r="I162" i="16"/>
  <c r="I176" i="16"/>
  <c r="D71" i="16"/>
  <c r="E103" i="16"/>
  <c r="E39" i="16"/>
  <c r="K214" i="16"/>
  <c r="G112" i="16"/>
  <c r="G48" i="16"/>
  <c r="F80" i="16"/>
  <c r="I60" i="16"/>
  <c r="H92" i="16"/>
  <c r="I124" i="16"/>
  <c r="E106" i="16"/>
  <c r="E42" i="16"/>
  <c r="D74" i="16"/>
  <c r="L46" i="16"/>
  <c r="L110" i="16"/>
  <c r="K78" i="16"/>
  <c r="J71" i="16"/>
  <c r="K39" i="16"/>
  <c r="K103" i="16"/>
  <c r="E233" i="16"/>
  <c r="G75" i="16"/>
  <c r="H43" i="16"/>
  <c r="H107" i="16"/>
  <c r="L45" i="16"/>
  <c r="L109" i="16"/>
  <c r="K77" i="16"/>
  <c r="J90" i="16"/>
  <c r="K58" i="16"/>
  <c r="K122" i="16"/>
  <c r="F43" i="16"/>
  <c r="F107" i="16"/>
  <c r="E75" i="16"/>
  <c r="F77" i="16"/>
  <c r="G109" i="16"/>
  <c r="G45" i="16"/>
  <c r="D219" i="16"/>
  <c r="D232" i="16"/>
  <c r="J220" i="16"/>
  <c r="I225" i="16"/>
  <c r="K52" i="16"/>
  <c r="J84" i="16"/>
  <c r="K116" i="16"/>
  <c r="G88" i="16"/>
  <c r="H56" i="16"/>
  <c r="H120" i="16"/>
  <c r="C221" i="16"/>
  <c r="J232" i="16"/>
  <c r="I216" i="16"/>
  <c r="F225" i="16"/>
  <c r="F222" i="16"/>
  <c r="H218" i="16"/>
  <c r="H226" i="16"/>
  <c r="C70" i="16"/>
  <c r="D102" i="16"/>
  <c r="D38" i="16"/>
  <c r="I218" i="16"/>
  <c r="J212" i="16"/>
  <c r="J213" i="16"/>
  <c r="K225" i="16"/>
  <c r="E38" i="16"/>
  <c r="D70" i="16"/>
  <c r="E102" i="16"/>
  <c r="G116" i="16"/>
  <c r="F84" i="16"/>
  <c r="G52" i="16"/>
  <c r="I77" i="16"/>
  <c r="J45" i="16"/>
  <c r="J109" i="16"/>
  <c r="J210" i="16"/>
  <c r="J61" i="16"/>
  <c r="I93" i="16"/>
  <c r="J125" i="16"/>
  <c r="G226" i="16"/>
  <c r="C213" i="16"/>
  <c r="J124" i="16"/>
  <c r="I92" i="16"/>
  <c r="J60" i="16"/>
  <c r="E212" i="16"/>
  <c r="E210" i="16"/>
  <c r="F210" i="16"/>
  <c r="H54" i="16"/>
  <c r="G86" i="16"/>
  <c r="H118" i="16"/>
  <c r="H109" i="16"/>
  <c r="H45" i="16"/>
  <c r="G77" i="16"/>
  <c r="D217" i="16"/>
  <c r="C89" i="16"/>
  <c r="D121" i="16"/>
  <c r="D57" i="16"/>
  <c r="I231" i="16"/>
  <c r="D89" i="16"/>
  <c r="E121" i="16"/>
  <c r="E57" i="16"/>
  <c r="G230" i="16"/>
  <c r="C219" i="16"/>
  <c r="H121" i="16"/>
  <c r="G89" i="16"/>
  <c r="H57" i="16"/>
  <c r="F211" i="16"/>
  <c r="C224" i="16"/>
  <c r="D224" i="16"/>
  <c r="D55" i="16"/>
  <c r="D119" i="16"/>
  <c r="C87" i="16"/>
  <c r="I53" i="16"/>
  <c r="I117" i="16"/>
  <c r="H85" i="16"/>
  <c r="J120" i="16"/>
  <c r="J56" i="16"/>
  <c r="I88" i="16"/>
  <c r="I74" i="16"/>
  <c r="J42" i="16"/>
  <c r="J106" i="16"/>
  <c r="D111" i="16"/>
  <c r="C79" i="16"/>
  <c r="D47" i="16"/>
  <c r="J222" i="16"/>
  <c r="I116" i="16"/>
  <c r="I52" i="16"/>
  <c r="H84" i="16"/>
  <c r="G73" i="16"/>
  <c r="H105" i="16"/>
  <c r="H41" i="16"/>
  <c r="F109" i="16"/>
  <c r="F45" i="16"/>
  <c r="E77" i="16"/>
  <c r="J113" i="16"/>
  <c r="I81" i="16"/>
  <c r="J49" i="16"/>
  <c r="J82" i="16"/>
  <c r="K114" i="16"/>
  <c r="K50" i="16"/>
  <c r="C73" i="16"/>
  <c r="D105" i="16"/>
  <c r="D41" i="16"/>
  <c r="L60" i="16"/>
  <c r="L124" i="16"/>
  <c r="K92" i="16"/>
  <c r="J228" i="16"/>
  <c r="H50" i="16"/>
  <c r="H114" i="16"/>
  <c r="G82" i="16"/>
  <c r="F41" i="16"/>
  <c r="E73" i="16"/>
  <c r="F105" i="16"/>
  <c r="F104" i="16"/>
  <c r="F40" i="16"/>
  <c r="E72" i="16"/>
  <c r="G91" i="16"/>
  <c r="H123" i="16"/>
  <c r="H59" i="16"/>
  <c r="K110" i="16"/>
  <c r="J78" i="16"/>
  <c r="K46" i="16"/>
  <c r="J216" i="16"/>
  <c r="G38" i="16"/>
  <c r="G102" i="16"/>
  <c r="F70" i="16"/>
  <c r="E80" i="16"/>
  <c r="F48" i="16"/>
  <c r="F112" i="16"/>
  <c r="E40" i="16"/>
  <c r="D72" i="16"/>
  <c r="E104" i="16"/>
  <c r="E41" i="16"/>
  <c r="D73" i="16"/>
  <c r="E105" i="16"/>
  <c r="E49" i="16"/>
  <c r="D81" i="16"/>
  <c r="E113" i="16"/>
  <c r="H70" i="16"/>
  <c r="I38" i="16"/>
  <c r="I102" i="16"/>
  <c r="I220" i="16"/>
  <c r="K226" i="16"/>
  <c r="L40" i="16"/>
  <c r="L104" i="16"/>
  <c r="K72" i="16"/>
  <c r="H220" i="16"/>
  <c r="G106" i="16"/>
  <c r="F74" i="16"/>
  <c r="G42" i="16"/>
  <c r="F117" i="16"/>
  <c r="E85" i="16"/>
  <c r="F53" i="16"/>
  <c r="H231" i="16"/>
  <c r="E231" i="16"/>
  <c r="C88" i="16"/>
  <c r="D56" i="16"/>
  <c r="D120" i="16"/>
  <c r="F228" i="16"/>
  <c r="D106" i="16"/>
  <c r="D42" i="16"/>
  <c r="C74" i="16"/>
  <c r="G216" i="16"/>
  <c r="F215" i="16"/>
  <c r="K38" i="16"/>
  <c r="J70" i="16"/>
  <c r="K102" i="16"/>
  <c r="K229" i="16"/>
  <c r="E56" i="16"/>
  <c r="E120" i="16"/>
  <c r="D88" i="16"/>
  <c r="H216" i="16"/>
  <c r="H230" i="16"/>
  <c r="J47" i="16"/>
  <c r="J111" i="16"/>
  <c r="I79" i="16"/>
  <c r="G84" i="16"/>
  <c r="H116" i="16"/>
  <c r="H52" i="16"/>
  <c r="L39" i="16"/>
  <c r="L103" i="16"/>
  <c r="K71" i="16"/>
  <c r="G46" i="16"/>
  <c r="F78" i="16"/>
  <c r="G110" i="16"/>
  <c r="F216" i="16"/>
  <c r="I41" i="16"/>
  <c r="H73" i="16"/>
  <c r="I105" i="16"/>
  <c r="J214" i="16"/>
  <c r="J102" i="16"/>
  <c r="J38" i="16"/>
  <c r="I70" i="16"/>
  <c r="H213" i="16"/>
  <c r="D223" i="16"/>
  <c r="E228" i="16"/>
  <c r="K88" i="16"/>
  <c r="L56" i="16"/>
  <c r="L120" i="16"/>
  <c r="I214" i="16"/>
  <c r="G219" i="16"/>
  <c r="J43" i="16"/>
  <c r="J107" i="16"/>
  <c r="I75" i="16"/>
  <c r="E227" i="16"/>
  <c r="J116" i="16"/>
  <c r="J52" i="16"/>
  <c r="I84" i="16"/>
  <c r="E108" i="16"/>
  <c r="E44" i="16"/>
  <c r="D76" i="16"/>
  <c r="G213" i="16"/>
  <c r="K80" i="16"/>
  <c r="L48" i="16"/>
  <c r="L112" i="16"/>
  <c r="G229" i="16"/>
  <c r="I61" i="16"/>
  <c r="I125" i="16"/>
  <c r="H93" i="16"/>
  <c r="L51" i="16"/>
  <c r="L115" i="16"/>
  <c r="K83" i="16"/>
  <c r="D233" i="16"/>
  <c r="E220" i="16"/>
  <c r="F81" i="16"/>
  <c r="G49" i="16"/>
  <c r="G113" i="16"/>
  <c r="D212" i="16"/>
  <c r="J233" i="16"/>
  <c r="E229" i="16"/>
  <c r="K44" i="16"/>
  <c r="K108" i="16"/>
  <c r="J76" i="16"/>
  <c r="I227" i="16"/>
  <c r="K57" i="16"/>
  <c r="K121" i="16"/>
  <c r="J89" i="16"/>
  <c r="K93" i="16"/>
  <c r="L61" i="16"/>
  <c r="L125" i="16"/>
  <c r="H51" i="16"/>
  <c r="G83" i="16"/>
  <c r="H115" i="16"/>
  <c r="I232" i="16"/>
  <c r="K215" i="16"/>
  <c r="I224" i="16"/>
  <c r="I107" i="16"/>
  <c r="H75" i="16"/>
  <c r="I43" i="16"/>
  <c r="H110" i="16"/>
  <c r="G78" i="16"/>
  <c r="H46" i="16"/>
  <c r="K221" i="16"/>
  <c r="L41" i="16"/>
  <c r="K73" i="16"/>
  <c r="L105" i="16"/>
  <c r="J54" i="16"/>
  <c r="I86" i="16"/>
  <c r="J118" i="16"/>
  <c r="E224" i="16"/>
  <c r="C210" i="16"/>
  <c r="H119" i="16"/>
  <c r="H55" i="16"/>
  <c r="G87" i="16"/>
  <c r="D53" i="16"/>
  <c r="D117" i="16"/>
  <c r="C85" i="16"/>
  <c r="C231" i="16"/>
  <c r="G40" i="16"/>
  <c r="G104" i="16"/>
  <c r="F72" i="16"/>
  <c r="H38" i="16"/>
  <c r="H102" i="16"/>
  <c r="G70" i="16"/>
  <c r="I76" i="16"/>
  <c r="J44" i="16"/>
  <c r="J108" i="16"/>
  <c r="J112" i="16"/>
  <c r="J48" i="16"/>
  <c r="I80" i="16"/>
  <c r="I228" i="16"/>
  <c r="K233" i="16"/>
  <c r="H223" i="16"/>
  <c r="L42" i="16"/>
  <c r="K74" i="16"/>
  <c r="L106" i="16"/>
  <c r="G56" i="16"/>
  <c r="F88" i="16"/>
  <c r="G120" i="16"/>
  <c r="F123" i="16"/>
  <c r="F59" i="16"/>
  <c r="E91" i="16"/>
  <c r="J227" i="16"/>
  <c r="I226" i="16"/>
  <c r="G231" i="16"/>
  <c r="E219" i="16"/>
  <c r="J223" i="16"/>
  <c r="E230" i="16"/>
  <c r="D108" i="16"/>
  <c r="C76" i="16"/>
  <c r="D44" i="16"/>
  <c r="K230" i="16"/>
  <c r="D83" i="16"/>
  <c r="E51" i="16"/>
  <c r="E115" i="16"/>
  <c r="H217" i="16"/>
  <c r="I115" i="16"/>
  <c r="H83" i="16"/>
  <c r="I51" i="16"/>
  <c r="D51" i="16"/>
  <c r="D115" i="16"/>
  <c r="C83" i="16"/>
  <c r="F52" i="16"/>
  <c r="F116" i="16"/>
  <c r="E84" i="16"/>
  <c r="E45" i="16"/>
  <c r="D77" i="16"/>
  <c r="E109" i="16"/>
  <c r="E123" i="16"/>
  <c r="E59" i="16"/>
  <c r="D91" i="16"/>
  <c r="E218" i="16"/>
  <c r="K216" i="16"/>
  <c r="L43" i="16"/>
  <c r="L107" i="16"/>
  <c r="K75" i="16"/>
  <c r="D211" i="16"/>
  <c r="K115" i="16"/>
  <c r="K51" i="16"/>
  <c r="J83" i="16"/>
  <c r="F111" i="16"/>
  <c r="F47" i="16"/>
  <c r="E79" i="16"/>
  <c r="J219" i="16"/>
  <c r="H108" i="16"/>
  <c r="G76" i="16"/>
  <c r="H44" i="16"/>
  <c r="G217" i="16"/>
  <c r="K117" i="16"/>
  <c r="J85" i="16"/>
  <c r="K53" i="16"/>
  <c r="K91" i="16"/>
  <c r="L59" i="16"/>
  <c r="L123" i="16"/>
  <c r="J225" i="16"/>
  <c r="E215" i="16"/>
  <c r="F55" i="16"/>
  <c r="E87" i="16"/>
  <c r="F119" i="16"/>
  <c r="E111" i="16"/>
  <c r="E47" i="16"/>
  <c r="D79" i="16"/>
  <c r="J105" i="16"/>
  <c r="J41" i="16"/>
  <c r="I73" i="16"/>
  <c r="K210" i="16"/>
  <c r="C223" i="16"/>
  <c r="G223" i="16"/>
  <c r="E125" i="16"/>
  <c r="D93" i="16"/>
  <c r="E61" i="16"/>
  <c r="C232" i="16"/>
  <c r="F114" i="16"/>
  <c r="F50" i="16"/>
  <c r="E82" i="16"/>
  <c r="L58" i="16"/>
  <c r="K90" i="16"/>
  <c r="L122" i="16"/>
  <c r="F103" i="16"/>
  <c r="F39" i="16"/>
  <c r="E71" i="16"/>
  <c r="D210" i="16"/>
  <c r="K124" i="16"/>
  <c r="K60" i="16"/>
  <c r="J92" i="16"/>
  <c r="D123" i="16"/>
  <c r="D59" i="16"/>
  <c r="C91" i="16"/>
  <c r="I118" i="16"/>
  <c r="I54" i="16"/>
  <c r="H86" i="16"/>
  <c r="C222" i="16"/>
  <c r="J51" i="16"/>
  <c r="I83" i="16"/>
  <c r="J115" i="16"/>
  <c r="H214" i="16"/>
  <c r="D122" i="16"/>
  <c r="D58" i="16"/>
  <c r="C90" i="16"/>
  <c r="I223" i="16"/>
  <c r="E232" i="16"/>
  <c r="C216" i="16"/>
  <c r="K47" i="16"/>
  <c r="K111" i="16"/>
  <c r="J79" i="16"/>
  <c r="F89" i="16"/>
  <c r="G121" i="16"/>
  <c r="G57" i="16"/>
  <c r="I123" i="16"/>
  <c r="H91" i="16"/>
  <c r="I59" i="16"/>
  <c r="J110" i="16"/>
  <c r="I78" i="16"/>
  <c r="J46" i="16"/>
  <c r="F54" i="16"/>
  <c r="F118" i="16"/>
  <c r="E86" i="16"/>
  <c r="I211" i="16"/>
  <c r="G232" i="16"/>
  <c r="D213" i="16"/>
  <c r="G115" i="16"/>
  <c r="F83" i="16"/>
  <c r="G51" i="16"/>
  <c r="E217" i="16"/>
  <c r="I120" i="16"/>
  <c r="H88" i="16"/>
  <c r="I56" i="16"/>
  <c r="J119" i="16"/>
  <c r="J55" i="16"/>
  <c r="I87" i="16"/>
  <c r="F229" i="16"/>
  <c r="K218" i="16"/>
  <c r="I108" i="16"/>
  <c r="H76" i="16"/>
  <c r="I44" i="16"/>
  <c r="E226" i="16"/>
  <c r="D225" i="16"/>
  <c r="G220" i="16"/>
  <c r="J226" i="16"/>
  <c r="H228" i="16"/>
  <c r="G43" i="16"/>
  <c r="G107" i="16"/>
  <c r="F75" i="16"/>
  <c r="G44" i="16"/>
  <c r="F76" i="16"/>
  <c r="G108" i="16"/>
  <c r="G233" i="16"/>
  <c r="E119" i="16"/>
  <c r="D87" i="16"/>
  <c r="E55" i="16"/>
  <c r="E222" i="16"/>
  <c r="K123" i="16"/>
  <c r="K59" i="16"/>
  <c r="J91" i="16"/>
  <c r="J74" i="16"/>
  <c r="K42" i="16"/>
  <c r="K106" i="16"/>
  <c r="F91" i="16"/>
  <c r="G123" i="16"/>
  <c r="G59" i="16"/>
  <c r="K118" i="16"/>
  <c r="J86" i="16"/>
  <c r="K54" i="16"/>
  <c r="F218" i="16"/>
  <c r="I229" i="16"/>
  <c r="K211" i="16"/>
  <c r="F212" i="16"/>
  <c r="D215" i="16"/>
  <c r="H221" i="16"/>
  <c r="K81" i="16"/>
  <c r="L49" i="16"/>
  <c r="L113" i="16"/>
  <c r="G41" i="16"/>
  <c r="F73" i="16"/>
  <c r="G105" i="16"/>
  <c r="C230" i="16"/>
  <c r="D214" i="16"/>
  <c r="D90" i="16"/>
  <c r="E122" i="16"/>
  <c r="E58" i="16"/>
  <c r="G47" i="16"/>
  <c r="F79" i="16"/>
  <c r="G111" i="16"/>
  <c r="C215" i="16"/>
  <c r="J87" i="16"/>
  <c r="K55" i="16"/>
  <c r="K119" i="16"/>
  <c r="K219" i="16"/>
  <c r="G215" i="16"/>
  <c r="G212" i="16"/>
  <c r="I55" i="16"/>
  <c r="H87" i="16"/>
  <c r="I119" i="16"/>
  <c r="K61" i="16"/>
  <c r="J93" i="16"/>
  <c r="K125" i="16"/>
  <c r="K49" i="16"/>
  <c r="J81" i="16"/>
  <c r="K113" i="16"/>
  <c r="G74" i="16"/>
  <c r="H42" i="16"/>
  <c r="H106" i="16"/>
  <c r="H79" i="16"/>
  <c r="I47" i="16"/>
  <c r="I111" i="16"/>
  <c r="L52" i="16"/>
  <c r="K84" i="16"/>
  <c r="L116" i="16"/>
  <c r="D125" i="16"/>
  <c r="D61" i="16"/>
  <c r="C93" i="16"/>
  <c r="H81" i="16"/>
  <c r="I113" i="16"/>
  <c r="I49" i="16"/>
  <c r="C217" i="16"/>
  <c r="D116" i="16"/>
  <c r="C84" i="16"/>
  <c r="D52" i="16"/>
  <c r="J40" i="16"/>
  <c r="I72" i="16"/>
  <c r="J104" i="16"/>
  <c r="F223" i="16"/>
  <c r="J229" i="16"/>
  <c r="E116" i="16"/>
  <c r="D84" i="16"/>
  <c r="E52" i="16"/>
  <c r="H219" i="16"/>
  <c r="D109" i="16"/>
  <c r="D45" i="16"/>
  <c r="C77" i="16"/>
  <c r="F230" i="16"/>
  <c r="F220" i="16"/>
  <c r="F213" i="16"/>
  <c r="D104" i="16"/>
  <c r="C72" i="16"/>
  <c r="D40" i="16"/>
  <c r="D226" i="16"/>
  <c r="J58" i="16"/>
  <c r="I90" i="16"/>
  <c r="J122" i="16"/>
  <c r="E211" i="16"/>
  <c r="I222" i="16"/>
  <c r="K41" i="16"/>
  <c r="J73" i="16"/>
  <c r="K105" i="16"/>
  <c r="D220" i="16"/>
  <c r="F106" i="16"/>
  <c r="E74" i="16"/>
  <c r="F42" i="16"/>
  <c r="C78" i="16"/>
  <c r="D46" i="16"/>
  <c r="D110" i="16"/>
  <c r="C212" i="16"/>
  <c r="J121" i="16"/>
  <c r="J57" i="16"/>
  <c r="I89" i="16"/>
  <c r="H124" i="16"/>
  <c r="H60" i="16"/>
  <c r="G92" i="16"/>
  <c r="H224" i="16"/>
  <c r="H232" i="16"/>
  <c r="D216" i="16"/>
  <c r="I212" i="16"/>
  <c r="D114" i="16"/>
  <c r="C82" i="16"/>
  <c r="D50" i="16"/>
  <c r="K227" i="16"/>
  <c r="E81" i="16"/>
  <c r="F49" i="16"/>
  <c r="F113" i="16"/>
  <c r="G218" i="16"/>
  <c r="H215" i="16"/>
  <c r="G124" i="16"/>
  <c r="F92" i="16"/>
  <c r="G60" i="16"/>
  <c r="H233" i="16"/>
  <c r="D221" i="16"/>
  <c r="J53" i="16"/>
  <c r="J117" i="16"/>
  <c r="I85" i="16"/>
  <c r="D49" i="16"/>
  <c r="D113" i="16"/>
  <c r="C81" i="16"/>
  <c r="K112" i="16"/>
  <c r="J80" i="16"/>
  <c r="K48" i="16"/>
  <c r="E110" i="16"/>
  <c r="D78" i="16"/>
  <c r="E46" i="16"/>
  <c r="J218" i="16"/>
  <c r="K43" i="16"/>
  <c r="J75" i="16"/>
  <c r="K107" i="16"/>
  <c r="H210" i="16"/>
  <c r="L44" i="16"/>
  <c r="L108" i="16"/>
  <c r="K76" i="16"/>
  <c r="F102" i="16"/>
  <c r="E70" i="16"/>
  <c r="F38" i="16"/>
  <c r="F232" i="16"/>
  <c r="H125" i="16"/>
  <c r="G93" i="16"/>
  <c r="H61" i="16"/>
  <c r="H103" i="16"/>
  <c r="H39" i="16"/>
  <c r="G71" i="16"/>
  <c r="F214" i="16"/>
  <c r="E83" i="16"/>
  <c r="F115" i="16"/>
  <c r="F51" i="16"/>
  <c r="F221" i="16"/>
  <c r="D218" i="16"/>
  <c r="D85" i="16"/>
  <c r="E53" i="16"/>
  <c r="E117" i="16"/>
  <c r="H49" i="16"/>
  <c r="G81" i="16"/>
  <c r="H113" i="16"/>
  <c r="J77" i="16"/>
  <c r="K109" i="16"/>
  <c r="K45" i="16"/>
  <c r="I219" i="16"/>
  <c r="G210" i="16"/>
  <c r="H112" i="16"/>
  <c r="G80" i="16"/>
  <c r="H48" i="16"/>
  <c r="I217" i="16"/>
  <c r="C218" i="16"/>
  <c r="F121" i="16"/>
  <c r="E89" i="16"/>
  <c r="F57" i="16"/>
  <c r="C226" i="16"/>
  <c r="G227" i="16"/>
  <c r="D229" i="16"/>
  <c r="F226" i="16"/>
  <c r="F231" i="16"/>
  <c r="D222" i="16"/>
  <c r="F85" i="16"/>
  <c r="G53" i="16"/>
  <c r="G117" i="16"/>
  <c r="I50" i="16"/>
  <c r="I114" i="16"/>
  <c r="H82" i="16"/>
  <c r="H122" i="16"/>
  <c r="H58" i="16"/>
  <c r="G90" i="16"/>
  <c r="K231" i="16"/>
  <c r="F125" i="16"/>
  <c r="F61" i="16"/>
  <c r="E93" i="16"/>
  <c r="G224" i="16"/>
  <c r="G79" i="16"/>
  <c r="H47" i="16"/>
  <c r="H111" i="16"/>
  <c r="D231" i="16"/>
  <c r="C220" i="16"/>
  <c r="G222" i="16"/>
  <c r="F120" i="16"/>
  <c r="E88" i="16"/>
  <c r="F56" i="16"/>
  <c r="J217" i="16"/>
  <c r="G214" i="16"/>
  <c r="L47" i="16"/>
  <c r="K79" i="16"/>
  <c r="L111" i="16"/>
  <c r="K82" i="16"/>
  <c r="L50" i="16"/>
  <c r="L114" i="16"/>
  <c r="J39" i="16"/>
  <c r="J103" i="16"/>
  <c r="I71" i="16"/>
  <c r="D92" i="16"/>
  <c r="E60" i="16"/>
  <c r="E124" i="16"/>
  <c r="I210" i="16"/>
  <c r="K40" i="16"/>
  <c r="J72" i="16"/>
  <c r="K104" i="16"/>
  <c r="L54" i="16"/>
  <c r="L118" i="16"/>
  <c r="K86" i="16"/>
  <c r="I221" i="16"/>
  <c r="E92" i="16"/>
  <c r="F124" i="16"/>
  <c r="F60" i="16"/>
  <c r="E48" i="16"/>
  <c r="D80" i="16"/>
  <c r="E112" i="16"/>
  <c r="F90" i="16"/>
  <c r="G58" i="16"/>
  <c r="G122" i="16"/>
  <c r="K120" i="16"/>
  <c r="K56" i="16"/>
  <c r="J88" i="16"/>
  <c r="G119" i="16"/>
  <c r="G55" i="16"/>
  <c r="F87" i="16"/>
  <c r="I40" i="16"/>
  <c r="I104" i="16"/>
  <c r="H72" i="16"/>
  <c r="H89" i="16"/>
  <c r="I57" i="16"/>
  <c r="I121" i="16"/>
  <c r="D228" i="16"/>
  <c r="K228" i="16"/>
  <c r="K213" i="16"/>
  <c r="F224" i="16"/>
  <c r="I106" i="16"/>
  <c r="H74" i="16"/>
  <c r="I42" i="16"/>
  <c r="K224" i="16"/>
  <c r="H229" i="16"/>
  <c r="D118" i="16"/>
  <c r="D54" i="16"/>
  <c r="C86" i="16"/>
  <c r="F227" i="16"/>
  <c r="C229" i="16"/>
  <c r="E114" i="16"/>
  <c r="D82" i="16"/>
  <c r="E50" i="16"/>
  <c r="I233" i="16"/>
  <c r="I230" i="16"/>
  <c r="E213" i="16"/>
  <c r="J211" i="16"/>
  <c r="L57" i="16"/>
  <c r="L121" i="16"/>
  <c r="K89" i="16"/>
  <c r="G228" i="16"/>
  <c r="I45" i="16"/>
  <c r="H77" i="16"/>
  <c r="I109" i="16"/>
  <c r="L55" i="16"/>
  <c r="K87" i="16"/>
  <c r="L119" i="16"/>
  <c r="C214" i="16"/>
  <c r="I46" i="16"/>
  <c r="H78" i="16"/>
  <c r="I110" i="16"/>
  <c r="G85" i="16"/>
  <c r="H53" i="16"/>
  <c r="H117" i="16"/>
  <c r="E43" i="16"/>
  <c r="E107" i="16"/>
  <c r="D75" i="16"/>
  <c r="H104" i="16"/>
  <c r="G72" i="16"/>
  <c r="H40" i="16"/>
  <c r="E223" i="16"/>
  <c r="G211" i="16"/>
  <c r="I82" i="16"/>
  <c r="J114" i="16"/>
  <c r="J50" i="16"/>
  <c r="I103" i="16"/>
  <c r="I39" i="16"/>
  <c r="H71" i="16"/>
  <c r="J231" i="16"/>
  <c r="H222" i="16"/>
  <c r="C71" i="16"/>
  <c r="D39" i="16"/>
  <c r="D103" i="16"/>
  <c r="H225" i="16"/>
  <c r="E216" i="16"/>
  <c r="C225" i="16"/>
  <c r="F217" i="16"/>
  <c r="E90" i="16"/>
  <c r="F122" i="16"/>
  <c r="F58" i="16"/>
  <c r="K223" i="16"/>
  <c r="J230" i="16"/>
  <c r="C227" i="16"/>
  <c r="G114" i="16"/>
  <c r="F82" i="16"/>
  <c r="G50" i="16"/>
  <c r="K232" i="16"/>
  <c r="D48" i="16"/>
  <c r="C80" i="16"/>
  <c r="D112" i="16"/>
  <c r="E221" i="16"/>
  <c r="J215" i="16"/>
  <c r="C233" i="16"/>
  <c r="I48" i="16"/>
  <c r="H80" i="16"/>
  <c r="I112" i="16"/>
  <c r="K220" i="16"/>
  <c r="G125" i="16"/>
  <c r="F93" i="16"/>
  <c r="G61" i="16"/>
  <c r="F219" i="16"/>
  <c r="L53" i="16"/>
  <c r="L117" i="16"/>
  <c r="K85" i="16"/>
  <c r="H211" i="16"/>
  <c r="F44" i="16"/>
  <c r="E76" i="16"/>
  <c r="F108" i="16"/>
  <c r="L38" i="16"/>
  <c r="L102" i="16"/>
  <c r="K70" i="16"/>
  <c r="I213" i="16"/>
  <c r="C228" i="16"/>
  <c r="J224" i="16"/>
  <c r="G221" i="16"/>
  <c r="E214" i="16"/>
  <c r="H212" i="16"/>
  <c r="J59" i="16"/>
  <c r="J123" i="16"/>
  <c r="I91" i="16"/>
  <c r="D230" i="16"/>
  <c r="J221" i="16"/>
  <c r="C92" i="16"/>
  <c r="D124" i="16"/>
  <c r="D60" i="16"/>
  <c r="H227" i="16"/>
  <c r="I122" i="16"/>
  <c r="I58" i="16"/>
  <c r="H90" i="16"/>
  <c r="D227" i="16"/>
  <c r="F110" i="16"/>
  <c r="E78" i="16"/>
  <c r="F46" i="16"/>
  <c r="D43" i="16"/>
  <c r="D107" i="16"/>
  <c r="C75" i="16"/>
  <c r="F233" i="16"/>
  <c r="I215" i="16"/>
  <c r="C211" i="16"/>
  <c r="K222" i="16"/>
  <c r="K212" i="16"/>
  <c r="G103" i="16"/>
  <c r="F71" i="16"/>
  <c r="G39" i="16"/>
  <c r="E118" i="16"/>
  <c r="D86" i="16"/>
  <c r="E54" i="16"/>
  <c r="G225" i="16"/>
  <c r="G118" i="16"/>
  <c r="G54" i="16"/>
  <c r="F86" i="16"/>
  <c r="E225" i="16"/>
  <c r="K217" i="16"/>
  <c r="I209" i="16"/>
  <c r="I133" i="16"/>
  <c r="I101" i="16"/>
  <c r="I208" i="16"/>
  <c r="I132" i="16"/>
  <c r="I100" i="16"/>
  <c r="I68" i="16"/>
  <c r="I36" i="16"/>
  <c r="I37" i="16"/>
  <c r="I69" i="16"/>
  <c r="H13" i="12"/>
  <c r="E16" i="12"/>
  <c r="F15" i="12"/>
  <c r="G14" i="12"/>
  <c r="J4" i="16"/>
  <c r="J238" i="16" s="1"/>
  <c r="J5" i="16"/>
  <c r="C18" i="12"/>
  <c r="D17" i="12"/>
  <c r="J10" i="12"/>
  <c r="J102" i="12" s="1"/>
  <c r="J11" i="12"/>
  <c r="J103" i="12" s="1"/>
  <c r="A366" i="10"/>
  <c r="B366" i="10" s="1"/>
  <c r="B314" i="10"/>
  <c r="D31" i="9" l="1"/>
  <c r="C19" i="9"/>
  <c r="E30" i="9"/>
  <c r="E31" i="9"/>
  <c r="D30" i="9"/>
  <c r="C31" i="9"/>
  <c r="C30" i="9"/>
  <c r="C24" i="9"/>
  <c r="E26" i="9"/>
  <c r="E10" i="9"/>
  <c r="E24" i="9"/>
  <c r="E27" i="9"/>
  <c r="D24" i="9"/>
  <c r="D27" i="9"/>
  <c r="C22" i="9"/>
  <c r="C8" i="9"/>
  <c r="D25" i="9"/>
  <c r="D14" i="9"/>
  <c r="D10" i="9"/>
  <c r="D12" i="9"/>
  <c r="E9" i="9"/>
  <c r="E16" i="9"/>
  <c r="D9" i="9"/>
  <c r="D16" i="9"/>
  <c r="C9" i="9"/>
  <c r="C28" i="9"/>
  <c r="D19" i="9"/>
  <c r="D26" i="9"/>
  <c r="E14" i="9"/>
  <c r="C6" i="9"/>
  <c r="E6" i="9"/>
  <c r="C18" i="9"/>
  <c r="E28" i="9"/>
  <c r="E20" i="9"/>
  <c r="D28" i="9"/>
  <c r="D20" i="9"/>
  <c r="C26" i="9"/>
  <c r="C17" i="9"/>
  <c r="E29" i="9"/>
  <c r="S129" i="16" s="1"/>
  <c r="E23" i="9"/>
  <c r="D29" i="9"/>
  <c r="D23" i="9"/>
  <c r="C13" i="9"/>
  <c r="C14" i="9"/>
  <c r="J163" i="16"/>
  <c r="J177" i="16"/>
  <c r="E15" i="9"/>
  <c r="E13" i="9"/>
  <c r="D15" i="9"/>
  <c r="D13" i="9"/>
  <c r="C16" i="9"/>
  <c r="J176" i="16"/>
  <c r="F32" i="9" s="1"/>
  <c r="E17" i="9"/>
  <c r="E7" i="9"/>
  <c r="D17" i="9"/>
  <c r="D7" i="9"/>
  <c r="C29" i="9"/>
  <c r="C11" i="9"/>
  <c r="E11" i="9"/>
  <c r="E8" i="9"/>
  <c r="D11" i="9"/>
  <c r="D8" i="9"/>
  <c r="C27" i="9"/>
  <c r="C20" i="9"/>
  <c r="D18" i="9"/>
  <c r="E18" i="9"/>
  <c r="E19" i="9"/>
  <c r="C7" i="9"/>
  <c r="C23" i="9"/>
  <c r="E25" i="9"/>
  <c r="C21" i="9"/>
  <c r="C12" i="9"/>
  <c r="E12" i="9"/>
  <c r="D6" i="9"/>
  <c r="C10" i="9"/>
  <c r="E21" i="9"/>
  <c r="E22" i="9"/>
  <c r="D21" i="9"/>
  <c r="D22" i="9"/>
  <c r="C25" i="9"/>
  <c r="C15" i="9"/>
  <c r="S71" i="16"/>
  <c r="J162" i="16"/>
  <c r="S77" i="16"/>
  <c r="S84" i="16"/>
  <c r="S72" i="16"/>
  <c r="S87" i="16"/>
  <c r="S79" i="16"/>
  <c r="S69" i="16"/>
  <c r="S81" i="16"/>
  <c r="S86" i="16"/>
  <c r="S82" i="16"/>
  <c r="S88" i="16"/>
  <c r="Q88" i="16" s="1"/>
  <c r="S70" i="16"/>
  <c r="S83" i="16"/>
  <c r="S74" i="16"/>
  <c r="S85" i="16"/>
  <c r="S68" i="16"/>
  <c r="S78" i="16"/>
  <c r="S76" i="16"/>
  <c r="S80" i="16"/>
  <c r="S75" i="16"/>
  <c r="J209" i="16"/>
  <c r="J133" i="16"/>
  <c r="J101" i="16"/>
  <c r="J208" i="16"/>
  <c r="S173" i="16" s="1"/>
  <c r="J132" i="16"/>
  <c r="S128" i="16" s="1"/>
  <c r="J100" i="16"/>
  <c r="J28" i="9" s="1"/>
  <c r="J37" i="16"/>
  <c r="J69" i="16"/>
  <c r="J68" i="16"/>
  <c r="I9" i="9" s="1"/>
  <c r="J36" i="16"/>
  <c r="F31" i="9" s="1"/>
  <c r="I13" i="12"/>
  <c r="E17" i="12"/>
  <c r="F16" i="12"/>
  <c r="H14" i="12"/>
  <c r="G15" i="12"/>
  <c r="K5" i="16"/>
  <c r="C19" i="12"/>
  <c r="D18" i="12"/>
  <c r="K11" i="12"/>
  <c r="K103" i="12" s="1"/>
  <c r="J13" i="9" l="1"/>
  <c r="K19" i="9"/>
  <c r="J24" i="9"/>
  <c r="K10" i="9"/>
  <c r="D32" i="9"/>
  <c r="D33" i="9" s="1"/>
  <c r="F13" i="9"/>
  <c r="F28" i="9"/>
  <c r="G16" i="9"/>
  <c r="S16" i="16" s="1"/>
  <c r="J16" i="9"/>
  <c r="J8" i="9"/>
  <c r="G32" i="9"/>
  <c r="C32" i="9"/>
  <c r="C33" i="9" s="1"/>
  <c r="G10" i="9"/>
  <c r="K16" i="9"/>
  <c r="K8" i="9"/>
  <c r="G25" i="9"/>
  <c r="S7" i="16" s="1"/>
  <c r="G19" i="9"/>
  <c r="S13" i="16" s="1"/>
  <c r="J17" i="9"/>
  <c r="J14" i="9"/>
  <c r="F9" i="9"/>
  <c r="G8" i="9"/>
  <c r="S22" i="16" s="1"/>
  <c r="K17" i="9"/>
  <c r="K14" i="9"/>
  <c r="F23" i="9"/>
  <c r="G31" i="9"/>
  <c r="G26" i="9"/>
  <c r="S6" i="16" s="1"/>
  <c r="K21" i="9"/>
  <c r="K15" i="9"/>
  <c r="F27" i="9"/>
  <c r="G27" i="9"/>
  <c r="J7" i="9"/>
  <c r="J9" i="9"/>
  <c r="F15" i="9"/>
  <c r="G13" i="9"/>
  <c r="J12" i="9"/>
  <c r="J25" i="9"/>
  <c r="F17" i="9"/>
  <c r="F6" i="9"/>
  <c r="G14" i="9"/>
  <c r="K12" i="9"/>
  <c r="K25" i="9"/>
  <c r="E32" i="9"/>
  <c r="E33" i="9" s="1"/>
  <c r="G7" i="9"/>
  <c r="S23" i="16" s="1"/>
  <c r="F24" i="9"/>
  <c r="G23" i="9"/>
  <c r="S9" i="16" s="1"/>
  <c r="G11" i="9"/>
  <c r="S20" i="16" s="1"/>
  <c r="J6" i="9"/>
  <c r="J22" i="9"/>
  <c r="G22" i="9"/>
  <c r="S10" i="16" s="1"/>
  <c r="G12" i="9"/>
  <c r="S19" i="16" s="1"/>
  <c r="G21" i="9"/>
  <c r="S11" i="16" s="1"/>
  <c r="K6" i="9"/>
  <c r="K22" i="9"/>
  <c r="F11" i="9"/>
  <c r="G29" i="9"/>
  <c r="S24" i="16" s="1"/>
  <c r="G6" i="9"/>
  <c r="K27" i="9"/>
  <c r="K29" i="9"/>
  <c r="K26" i="9"/>
  <c r="K28" i="9"/>
  <c r="F14" i="9"/>
  <c r="F8" i="9"/>
  <c r="F22" i="9"/>
  <c r="K24" i="9"/>
  <c r="K7" i="9"/>
  <c r="K13" i="9"/>
  <c r="K9" i="9"/>
  <c r="F7" i="9"/>
  <c r="F19" i="9"/>
  <c r="G17" i="9"/>
  <c r="S15" i="16" s="1"/>
  <c r="G18" i="9"/>
  <c r="S14" i="16" s="1"/>
  <c r="J23" i="9"/>
  <c r="J18" i="9"/>
  <c r="J11" i="9"/>
  <c r="J20" i="9"/>
  <c r="F26" i="9"/>
  <c r="F10" i="9"/>
  <c r="G20" i="9"/>
  <c r="S12" i="16" s="1"/>
  <c r="G24" i="9"/>
  <c r="S8" i="16" s="1"/>
  <c r="K23" i="9"/>
  <c r="K18" i="9"/>
  <c r="K11" i="9"/>
  <c r="K20" i="9"/>
  <c r="G30" i="9"/>
  <c r="F20" i="9"/>
  <c r="F30" i="9"/>
  <c r="F29" i="9"/>
  <c r="G9" i="9"/>
  <c r="S21" i="16" s="1"/>
  <c r="J19" i="9"/>
  <c r="J21" i="9"/>
  <c r="J10" i="9"/>
  <c r="J15" i="9"/>
  <c r="F18" i="9"/>
  <c r="F21" i="9"/>
  <c r="F25" i="9"/>
  <c r="F16" i="9"/>
  <c r="G28" i="9"/>
  <c r="G15" i="9"/>
  <c r="S17" i="16" s="1"/>
  <c r="J27" i="9"/>
  <c r="J29" i="9"/>
  <c r="J26" i="9"/>
  <c r="F12" i="9"/>
  <c r="S172" i="16"/>
  <c r="S175" i="16"/>
  <c r="S177" i="16"/>
  <c r="S18" i="16"/>
  <c r="S176" i="16"/>
  <c r="S185" i="16"/>
  <c r="S186" i="16"/>
  <c r="S184" i="16"/>
  <c r="S182" i="16"/>
  <c r="S183" i="16"/>
  <c r="S179" i="16"/>
  <c r="S180" i="16"/>
  <c r="S187" i="16"/>
  <c r="S181" i="16"/>
  <c r="L5" i="16"/>
  <c r="L163" i="16" s="1"/>
  <c r="K177" i="16"/>
  <c r="K163" i="16"/>
  <c r="Q80" i="16"/>
  <c r="Q85" i="16"/>
  <c r="T187" i="16" s="1"/>
  <c r="S130" i="16"/>
  <c r="Q72" i="16"/>
  <c r="Q71" i="16"/>
  <c r="Q78" i="16"/>
  <c r="Q83" i="16"/>
  <c r="T185" i="16" s="1"/>
  <c r="Q86" i="16"/>
  <c r="Q79" i="16"/>
  <c r="T181" i="16" s="1"/>
  <c r="Q77" i="16"/>
  <c r="T179" i="16" s="1"/>
  <c r="Q75" i="16"/>
  <c r="Q68" i="16"/>
  <c r="Q70" i="16"/>
  <c r="T172" i="16" s="1"/>
  <c r="Q81" i="16"/>
  <c r="T183" i="16" s="1"/>
  <c r="Q87" i="16"/>
  <c r="I24" i="9"/>
  <c r="H18" i="9"/>
  <c r="Q76" i="16"/>
  <c r="T178" i="16" s="1"/>
  <c r="Q74" i="16"/>
  <c r="T176" i="16" s="1"/>
  <c r="Q82" i="16"/>
  <c r="Q69" i="16"/>
  <c r="Q84" i="16"/>
  <c r="T186" i="16" s="1"/>
  <c r="I22" i="9"/>
  <c r="I29" i="9"/>
  <c r="I17" i="9"/>
  <c r="I14" i="9"/>
  <c r="H7" i="9"/>
  <c r="I20" i="9"/>
  <c r="H12" i="9"/>
  <c r="I19" i="9"/>
  <c r="I12" i="9"/>
  <c r="H10" i="9"/>
  <c r="H28" i="9"/>
  <c r="H6" i="9"/>
  <c r="H27" i="9"/>
  <c r="H22" i="9"/>
  <c r="H13" i="9"/>
  <c r="I11" i="9"/>
  <c r="K209" i="16"/>
  <c r="K133" i="16"/>
  <c r="K101" i="16"/>
  <c r="H11" i="9"/>
  <c r="H15" i="9"/>
  <c r="I27" i="9"/>
  <c r="I25" i="9"/>
  <c r="I7" i="9"/>
  <c r="H8" i="9"/>
  <c r="I10" i="9"/>
  <c r="H23" i="9"/>
  <c r="I15" i="9"/>
  <c r="I18" i="9"/>
  <c r="I26" i="9"/>
  <c r="H9" i="9"/>
  <c r="I21" i="9"/>
  <c r="I28" i="9"/>
  <c r="I8" i="9"/>
  <c r="H21" i="9"/>
  <c r="I13" i="9"/>
  <c r="H16" i="9"/>
  <c r="I16" i="9"/>
  <c r="I6" i="9"/>
  <c r="H25" i="9"/>
  <c r="H17" i="9"/>
  <c r="H24" i="9"/>
  <c r="H20" i="9"/>
  <c r="H26" i="9"/>
  <c r="H29" i="9"/>
  <c r="I23" i="9"/>
  <c r="H19" i="9"/>
  <c r="H14" i="9"/>
  <c r="K69" i="16"/>
  <c r="K37" i="16"/>
  <c r="J13" i="12"/>
  <c r="H15" i="12"/>
  <c r="I14" i="12"/>
  <c r="G16" i="12"/>
  <c r="E18" i="12"/>
  <c r="F17" i="12"/>
  <c r="C20" i="12"/>
  <c r="D19" i="12"/>
  <c r="L11" i="12"/>
  <c r="M11" i="12" s="1"/>
  <c r="L101" i="16" l="1"/>
  <c r="L209" i="16"/>
  <c r="V179" i="16"/>
  <c r="AB175" i="16" s="1"/>
  <c r="T177" i="16"/>
  <c r="V186" i="16"/>
  <c r="T184" i="16"/>
  <c r="V184" i="16" s="1"/>
  <c r="AA178" i="16" s="1"/>
  <c r="T173" i="16"/>
  <c r="V173" i="16" s="1"/>
  <c r="AB172" i="16" s="1"/>
  <c r="V176" i="16"/>
  <c r="Y175" i="16" s="1"/>
  <c r="T174" i="16"/>
  <c r="T180" i="16"/>
  <c r="V180" i="16" s="1"/>
  <c r="T182" i="16"/>
  <c r="V182" i="16" s="1"/>
  <c r="Y178" i="16" s="1"/>
  <c r="V187" i="16"/>
  <c r="V181" i="16"/>
  <c r="V183" i="16"/>
  <c r="Z178" i="16" s="1"/>
  <c r="T171" i="16"/>
  <c r="T170" i="16"/>
  <c r="V172" i="16"/>
  <c r="AA172" i="16" s="1"/>
  <c r="L69" i="16"/>
  <c r="M5" i="16"/>
  <c r="N5" i="16" s="1"/>
  <c r="L177" i="16"/>
  <c r="L133" i="16"/>
  <c r="L37" i="16"/>
  <c r="M103" i="12"/>
  <c r="N11" i="12"/>
  <c r="N103" i="12" s="1"/>
  <c r="L103" i="12"/>
  <c r="S73" i="16"/>
  <c r="Q73" i="16" s="1"/>
  <c r="T175" i="16" s="1"/>
  <c r="V175" i="16" s="1"/>
  <c r="T134" i="16"/>
  <c r="S170" i="16"/>
  <c r="K13" i="12"/>
  <c r="G17" i="12"/>
  <c r="I15" i="12"/>
  <c r="E19" i="12"/>
  <c r="F18" i="12"/>
  <c r="H16" i="12"/>
  <c r="J14" i="12"/>
  <c r="C21" i="12"/>
  <c r="D20" i="12"/>
  <c r="N133" i="16" l="1"/>
  <c r="N209" i="16"/>
  <c r="O5" i="16"/>
  <c r="N69" i="16"/>
  <c r="N177" i="16"/>
  <c r="N37" i="16"/>
  <c r="N101" i="16"/>
  <c r="N163" i="16"/>
  <c r="AD178" i="16"/>
  <c r="AC178" i="16"/>
  <c r="AD175" i="16"/>
  <c r="AC175" i="16"/>
  <c r="AD172" i="16"/>
  <c r="V185" i="16"/>
  <c r="V170" i="16"/>
  <c r="T188" i="16"/>
  <c r="M177" i="16"/>
  <c r="M209" i="16"/>
  <c r="M69" i="16"/>
  <c r="M37" i="16"/>
  <c r="M101" i="16"/>
  <c r="M133" i="16"/>
  <c r="M163" i="16"/>
  <c r="V70" i="16"/>
  <c r="U70" i="16" s="1"/>
  <c r="V74" i="16"/>
  <c r="U74" i="16" s="1"/>
  <c r="V73" i="16"/>
  <c r="U73" i="16" s="1"/>
  <c r="V68" i="16"/>
  <c r="U68" i="16" s="1"/>
  <c r="V71" i="16"/>
  <c r="U71" i="16" s="1"/>
  <c r="V77" i="16"/>
  <c r="U77" i="16" s="1"/>
  <c r="V72" i="16"/>
  <c r="U72" i="16" s="1"/>
  <c r="V69" i="16"/>
  <c r="U69" i="16" s="1"/>
  <c r="V75" i="16"/>
  <c r="U75" i="16" s="1"/>
  <c r="V76" i="16"/>
  <c r="U76" i="16" s="1"/>
  <c r="S131" i="16"/>
  <c r="S171" i="16"/>
  <c r="L13" i="12"/>
  <c r="M13" i="12" s="1"/>
  <c r="N13" i="12" s="1"/>
  <c r="K14" i="12"/>
  <c r="J15" i="12"/>
  <c r="I16" i="12"/>
  <c r="H17" i="12"/>
  <c r="E20" i="12"/>
  <c r="G18" i="12"/>
  <c r="F19" i="12"/>
  <c r="C22" i="12"/>
  <c r="D21" i="12"/>
  <c r="O133" i="16" l="1"/>
  <c r="O209" i="16"/>
  <c r="O69" i="16"/>
  <c r="O177" i="16"/>
  <c r="O37" i="16"/>
  <c r="O101" i="16"/>
  <c r="O163" i="16"/>
  <c r="Y172" i="16"/>
  <c r="AB178" i="16"/>
  <c r="V177" i="16"/>
  <c r="Z175" i="16" s="1"/>
  <c r="V78" i="16"/>
  <c r="V79" i="16" s="1"/>
  <c r="V171" i="16"/>
  <c r="Z172" i="16" s="1"/>
  <c r="G19" i="12"/>
  <c r="J16" i="12"/>
  <c r="H18" i="12"/>
  <c r="K15" i="12"/>
  <c r="F20" i="12"/>
  <c r="L14" i="12"/>
  <c r="M14" i="12" s="1"/>
  <c r="N14" i="12" s="1"/>
  <c r="E21" i="12"/>
  <c r="I17" i="12"/>
  <c r="C23" i="12"/>
  <c r="D22" i="12"/>
  <c r="S174" i="16" l="1"/>
  <c r="S178" i="16"/>
  <c r="J17" i="12"/>
  <c r="L15" i="12"/>
  <c r="M15" i="12" s="1"/>
  <c r="N15" i="12" s="1"/>
  <c r="F21" i="12"/>
  <c r="I18" i="12"/>
  <c r="K16" i="12"/>
  <c r="E22" i="12"/>
  <c r="G20" i="12"/>
  <c r="H19" i="12"/>
  <c r="C24" i="12"/>
  <c r="D23" i="12"/>
  <c r="V174" i="16" l="1"/>
  <c r="S188" i="16"/>
  <c r="V178" i="16"/>
  <c r="F22" i="12"/>
  <c r="E23" i="12"/>
  <c r="L16" i="12"/>
  <c r="M16" i="12" s="1"/>
  <c r="N16" i="12" s="1"/>
  <c r="K17" i="12"/>
  <c r="I19" i="12"/>
  <c r="J18" i="12"/>
  <c r="H20" i="12"/>
  <c r="G21" i="12"/>
  <c r="C25" i="12"/>
  <c r="D24" i="12"/>
  <c r="AC172" i="16" l="1"/>
  <c r="AA175" i="16"/>
  <c r="K18" i="12"/>
  <c r="F23" i="12"/>
  <c r="E24" i="12"/>
  <c r="J19" i="12"/>
  <c r="G22" i="12"/>
  <c r="H21" i="12"/>
  <c r="L17" i="12"/>
  <c r="M17" i="12" s="1"/>
  <c r="N17" i="12" s="1"/>
  <c r="I20" i="12"/>
  <c r="C26" i="12"/>
  <c r="D25" i="12"/>
  <c r="AD179" i="16" l="1"/>
  <c r="I21" i="12"/>
  <c r="G23" i="12"/>
  <c r="H22" i="12"/>
  <c r="L18" i="12"/>
  <c r="M18" i="12" s="1"/>
  <c r="N18" i="12" s="1"/>
  <c r="J20" i="12"/>
  <c r="K19" i="12"/>
  <c r="E25" i="12"/>
  <c r="F24" i="12"/>
  <c r="C27" i="12"/>
  <c r="D26" i="12"/>
  <c r="L19" i="12" l="1"/>
  <c r="M19" i="12" s="1"/>
  <c r="N19" i="12" s="1"/>
  <c r="H23" i="12"/>
  <c r="K20" i="12"/>
  <c r="J21" i="12"/>
  <c r="E26" i="12"/>
  <c r="G24" i="12"/>
  <c r="F25" i="12"/>
  <c r="I22" i="12"/>
  <c r="C28" i="12"/>
  <c r="D27" i="12"/>
  <c r="F26" i="12" l="1"/>
  <c r="E27" i="12"/>
  <c r="J22" i="12"/>
  <c r="K21" i="12"/>
  <c r="H24" i="12"/>
  <c r="I23" i="12"/>
  <c r="G25" i="12"/>
  <c r="L20" i="12"/>
  <c r="M20" i="12" s="1"/>
  <c r="N20" i="12" s="1"/>
  <c r="C29" i="12"/>
  <c r="D28" i="12"/>
  <c r="J23" i="12" l="1"/>
  <c r="F27" i="12"/>
  <c r="E28" i="12"/>
  <c r="I24" i="12"/>
  <c r="G26" i="12"/>
  <c r="L21" i="12"/>
  <c r="M21" i="12" s="1"/>
  <c r="N21" i="12" s="1"/>
  <c r="H25" i="12"/>
  <c r="K22" i="12"/>
  <c r="C30" i="12"/>
  <c r="D29" i="12"/>
  <c r="E29" i="12" l="1"/>
  <c r="G27" i="12"/>
  <c r="H26" i="12"/>
  <c r="K23" i="12"/>
  <c r="L22" i="12"/>
  <c r="M22" i="12" s="1"/>
  <c r="N22" i="12" s="1"/>
  <c r="J24" i="12"/>
  <c r="I25" i="12"/>
  <c r="F28" i="12"/>
  <c r="C31" i="12"/>
  <c r="D30" i="12"/>
  <c r="E30" i="12" l="1"/>
  <c r="K24" i="12"/>
  <c r="H27" i="12"/>
  <c r="F29" i="12"/>
  <c r="G28" i="12"/>
  <c r="L23" i="12"/>
  <c r="M23" i="12" s="1"/>
  <c r="N23" i="12" s="1"/>
  <c r="J25" i="12"/>
  <c r="I26" i="12"/>
  <c r="C32" i="12"/>
  <c r="D31" i="12"/>
  <c r="L24" i="12" l="1"/>
  <c r="M24" i="12" s="1"/>
  <c r="N24" i="12" s="1"/>
  <c r="H28" i="12"/>
  <c r="F30" i="12"/>
  <c r="E31" i="12"/>
  <c r="J26" i="12"/>
  <c r="G29" i="12"/>
  <c r="K25" i="12"/>
  <c r="I27" i="12"/>
  <c r="C33" i="12"/>
  <c r="D32" i="12"/>
  <c r="H29" i="12" l="1"/>
  <c r="I28" i="12"/>
  <c r="E32" i="12"/>
  <c r="K26" i="12"/>
  <c r="J27" i="12"/>
  <c r="F31" i="12"/>
  <c r="L25" i="12"/>
  <c r="M25" i="12" s="1"/>
  <c r="N25" i="12" s="1"/>
  <c r="G30" i="12"/>
  <c r="C34" i="12"/>
  <c r="D33" i="12"/>
  <c r="G31" i="12" l="1"/>
  <c r="J28" i="12"/>
  <c r="E33" i="12"/>
  <c r="K27" i="12"/>
  <c r="I29" i="12"/>
  <c r="H30" i="12"/>
  <c r="L26" i="12"/>
  <c r="M26" i="12" s="1"/>
  <c r="N26" i="12" s="1"/>
  <c r="F32" i="12"/>
  <c r="C35" i="12"/>
  <c r="D34" i="12"/>
  <c r="E34" i="12" l="1"/>
  <c r="I30" i="12"/>
  <c r="K28" i="12"/>
  <c r="J29" i="12"/>
  <c r="H31" i="12"/>
  <c r="G32" i="12"/>
  <c r="L27" i="12"/>
  <c r="M27" i="12" s="1"/>
  <c r="N27" i="12" s="1"/>
  <c r="F33" i="12"/>
  <c r="C36" i="12"/>
  <c r="D35" i="12"/>
  <c r="E35" i="12" l="1"/>
  <c r="H32" i="12"/>
  <c r="J30" i="12"/>
  <c r="I31" i="12"/>
  <c r="F34" i="12"/>
  <c r="G33" i="12"/>
  <c r="K29" i="12"/>
  <c r="L28" i="12"/>
  <c r="M28" i="12" s="1"/>
  <c r="N28" i="12" s="1"/>
  <c r="C37" i="12"/>
  <c r="D36" i="12"/>
  <c r="G34" i="12" l="1"/>
  <c r="F35" i="12"/>
  <c r="E36" i="12"/>
  <c r="J31" i="12"/>
  <c r="L29" i="12"/>
  <c r="M29" i="12" s="1"/>
  <c r="N29" i="12" s="1"/>
  <c r="K30" i="12"/>
  <c r="H33" i="12"/>
  <c r="I32" i="12"/>
  <c r="C38" i="12"/>
  <c r="D37" i="12"/>
  <c r="F36" i="12" l="1"/>
  <c r="H34" i="12"/>
  <c r="L30" i="12"/>
  <c r="M30" i="12" s="1"/>
  <c r="N30" i="12" s="1"/>
  <c r="E37" i="12"/>
  <c r="J32" i="12"/>
  <c r="K31" i="12"/>
  <c r="I33" i="12"/>
  <c r="G35" i="12"/>
  <c r="C39" i="12"/>
  <c r="D38" i="12"/>
  <c r="H35" i="12" l="1"/>
  <c r="F37" i="12"/>
  <c r="E38" i="12"/>
  <c r="I34" i="12"/>
  <c r="J33" i="12"/>
  <c r="L31" i="12"/>
  <c r="M31" i="12" s="1"/>
  <c r="N31" i="12" s="1"/>
  <c r="K32" i="12"/>
  <c r="G36" i="12"/>
  <c r="C40" i="12"/>
  <c r="D39" i="12"/>
  <c r="F38" i="12" l="1"/>
  <c r="L32" i="12"/>
  <c r="M32" i="12" s="1"/>
  <c r="N32" i="12" s="1"/>
  <c r="G37" i="12"/>
  <c r="I35" i="12"/>
  <c r="K33" i="12"/>
  <c r="E39" i="12"/>
  <c r="H36" i="12"/>
  <c r="J34" i="12"/>
  <c r="C41" i="12"/>
  <c r="D40" i="12"/>
  <c r="K34" i="12" l="1"/>
  <c r="H37" i="12"/>
  <c r="F39" i="12"/>
  <c r="E40" i="12"/>
  <c r="I36" i="12"/>
  <c r="L33" i="12"/>
  <c r="M33" i="12" s="1"/>
  <c r="N33" i="12" s="1"/>
  <c r="G38" i="12"/>
  <c r="J35" i="12"/>
  <c r="C42" i="12"/>
  <c r="D41" i="12"/>
  <c r="K35" i="12" l="1"/>
  <c r="J36" i="12"/>
  <c r="L34" i="12"/>
  <c r="M34" i="12" s="1"/>
  <c r="N34" i="12" s="1"/>
  <c r="E41" i="12"/>
  <c r="F40" i="12"/>
  <c r="H38" i="12"/>
  <c r="G39" i="12"/>
  <c r="I37" i="12"/>
  <c r="C43" i="12"/>
  <c r="D42" i="12"/>
  <c r="E42" i="12" l="1"/>
  <c r="H39" i="12"/>
  <c r="J37" i="12"/>
  <c r="I38" i="12"/>
  <c r="F41" i="12"/>
  <c r="K36" i="12"/>
  <c r="G40" i="12"/>
  <c r="L35" i="12"/>
  <c r="M35" i="12" s="1"/>
  <c r="N35" i="12" s="1"/>
  <c r="C44" i="12"/>
  <c r="D43" i="12"/>
  <c r="E43" i="12" l="1"/>
  <c r="H40" i="12"/>
  <c r="K37" i="12"/>
  <c r="G41" i="12"/>
  <c r="J38" i="12"/>
  <c r="L36" i="12"/>
  <c r="M36" i="12" s="1"/>
  <c r="N36" i="12" s="1"/>
  <c r="I39" i="12"/>
  <c r="F42" i="12"/>
  <c r="C45" i="12"/>
  <c r="D44" i="12"/>
  <c r="I40" i="12" l="1"/>
  <c r="K38" i="12"/>
  <c r="F43" i="12"/>
  <c r="E44" i="12"/>
  <c r="H41" i="12"/>
  <c r="G42" i="12"/>
  <c r="J39" i="12"/>
  <c r="L37" i="12"/>
  <c r="M37" i="12" s="1"/>
  <c r="N37" i="12" s="1"/>
  <c r="C46" i="12"/>
  <c r="D45" i="12"/>
  <c r="L38" i="12" l="1"/>
  <c r="M38" i="12" s="1"/>
  <c r="N38" i="12" s="1"/>
  <c r="J40" i="12"/>
  <c r="E45" i="12"/>
  <c r="F44" i="12"/>
  <c r="K39" i="12"/>
  <c r="G43" i="12"/>
  <c r="H42" i="12"/>
  <c r="I41" i="12"/>
  <c r="C47" i="12"/>
  <c r="D46" i="12"/>
  <c r="L39" i="12" l="1"/>
  <c r="M39" i="12" s="1"/>
  <c r="N39" i="12" s="1"/>
  <c r="E46" i="12"/>
  <c r="J41" i="12"/>
  <c r="G44" i="12"/>
  <c r="F45" i="12"/>
  <c r="I42" i="12"/>
  <c r="H43" i="12"/>
  <c r="K40" i="12"/>
  <c r="C48" i="12"/>
  <c r="D47" i="12"/>
  <c r="G45" i="12" l="1"/>
  <c r="L40" i="12"/>
  <c r="M40" i="12" s="1"/>
  <c r="N40" i="12" s="1"/>
  <c r="H44" i="12"/>
  <c r="J42" i="12"/>
  <c r="F46" i="12"/>
  <c r="E47" i="12"/>
  <c r="I43" i="12"/>
  <c r="K41" i="12"/>
  <c r="C49" i="12"/>
  <c r="D48" i="12"/>
  <c r="E48" i="12" l="1"/>
  <c r="L41" i="12"/>
  <c r="M41" i="12" s="1"/>
  <c r="N41" i="12" s="1"/>
  <c r="K42" i="12"/>
  <c r="J43" i="12"/>
  <c r="G46" i="12"/>
  <c r="I44" i="12"/>
  <c r="F47" i="12"/>
  <c r="H45" i="12"/>
  <c r="C50" i="12"/>
  <c r="D49" i="12"/>
  <c r="I45" i="12" l="1"/>
  <c r="K43" i="12"/>
  <c r="E49" i="12"/>
  <c r="H46" i="12"/>
  <c r="F48" i="12"/>
  <c r="G47" i="12"/>
  <c r="L42" i="12"/>
  <c r="M42" i="12" s="1"/>
  <c r="N42" i="12" s="1"/>
  <c r="J44" i="12"/>
  <c r="C51" i="12"/>
  <c r="D50" i="12"/>
  <c r="I46" i="12" l="1"/>
  <c r="F49" i="12"/>
  <c r="H47" i="12"/>
  <c r="K44" i="12"/>
  <c r="E50" i="12"/>
  <c r="L43" i="12"/>
  <c r="M43" i="12" s="1"/>
  <c r="N43" i="12" s="1"/>
  <c r="G48" i="12"/>
  <c r="J45" i="12"/>
  <c r="C52" i="12"/>
  <c r="D51" i="12"/>
  <c r="F50" i="12" l="1"/>
  <c r="K45" i="12"/>
  <c r="L44" i="12"/>
  <c r="M44" i="12" s="1"/>
  <c r="N44" i="12" s="1"/>
  <c r="I47" i="12"/>
  <c r="H48" i="12"/>
  <c r="E51" i="12"/>
  <c r="G49" i="12"/>
  <c r="J46" i="12"/>
  <c r="C53" i="12"/>
  <c r="D52" i="12"/>
  <c r="J47" i="12" l="1"/>
  <c r="K46" i="12"/>
  <c r="H49" i="12"/>
  <c r="E52" i="12"/>
  <c r="L45" i="12"/>
  <c r="M45" i="12" s="1"/>
  <c r="N45" i="12" s="1"/>
  <c r="F51" i="12"/>
  <c r="I48" i="12"/>
  <c r="G50" i="12"/>
  <c r="C54" i="12"/>
  <c r="D53" i="12"/>
  <c r="C166" i="16"/>
  <c r="G51" i="12" l="1"/>
  <c r="H50" i="12"/>
  <c r="F52" i="12"/>
  <c r="L46" i="12"/>
  <c r="M46" i="12" s="1"/>
  <c r="N46" i="12" s="1"/>
  <c r="J48" i="12"/>
  <c r="I49" i="12"/>
  <c r="E53" i="12"/>
  <c r="K47" i="12"/>
  <c r="C55" i="12"/>
  <c r="D54" i="12"/>
  <c r="D166" i="16"/>
  <c r="C167" i="16"/>
  <c r="L47" i="12" l="1"/>
  <c r="M47" i="12" s="1"/>
  <c r="N47" i="12" s="1"/>
  <c r="F53" i="12"/>
  <c r="G52" i="12"/>
  <c r="E54" i="12"/>
  <c r="J49" i="12"/>
  <c r="I50" i="12"/>
  <c r="K48" i="12"/>
  <c r="H51" i="12"/>
  <c r="C56" i="12"/>
  <c r="D55" i="12"/>
  <c r="D167" i="16"/>
  <c r="C168" i="16"/>
  <c r="E166" i="16"/>
  <c r="K49" i="12" l="1"/>
  <c r="I51" i="12"/>
  <c r="F54" i="12"/>
  <c r="L48" i="12"/>
  <c r="M48" i="12" s="1"/>
  <c r="N48" i="12" s="1"/>
  <c r="H52" i="12"/>
  <c r="E55" i="12"/>
  <c r="J50" i="12"/>
  <c r="G53" i="12"/>
  <c r="C57" i="12"/>
  <c r="D56" i="12"/>
  <c r="D168" i="16"/>
  <c r="E167" i="16"/>
  <c r="F166" i="16"/>
  <c r="C169" i="16"/>
  <c r="F55" i="12" l="1"/>
  <c r="J51" i="12"/>
  <c r="I52" i="12"/>
  <c r="L49" i="12"/>
  <c r="M49" i="12" s="1"/>
  <c r="N49" i="12" s="1"/>
  <c r="H53" i="12"/>
  <c r="K50" i="12"/>
  <c r="G54" i="12"/>
  <c r="E56" i="12"/>
  <c r="C58" i="12"/>
  <c r="D57" i="12"/>
  <c r="G166" i="16"/>
  <c r="F167" i="16"/>
  <c r="D169" i="16"/>
  <c r="E168" i="16"/>
  <c r="C170" i="16"/>
  <c r="G55" i="12" l="1"/>
  <c r="F56" i="12"/>
  <c r="J52" i="12"/>
  <c r="H54" i="12"/>
  <c r="E57" i="12"/>
  <c r="L50" i="12"/>
  <c r="M50" i="12" s="1"/>
  <c r="N50" i="12" s="1"/>
  <c r="K51" i="12"/>
  <c r="I53" i="12"/>
  <c r="C59" i="12"/>
  <c r="D58" i="12"/>
  <c r="E169" i="16"/>
  <c r="D170" i="16"/>
  <c r="F168" i="16"/>
  <c r="C171" i="16"/>
  <c r="H166" i="16"/>
  <c r="G167" i="16"/>
  <c r="E58" i="12" l="1"/>
  <c r="G56" i="12"/>
  <c r="I54" i="12"/>
  <c r="D59" i="12"/>
  <c r="H55" i="12"/>
  <c r="J53" i="12"/>
  <c r="L51" i="12"/>
  <c r="M51" i="12" s="1"/>
  <c r="N51" i="12" s="1"/>
  <c r="K52" i="12"/>
  <c r="F57" i="12"/>
  <c r="D171" i="16"/>
  <c r="I166" i="16"/>
  <c r="F169" i="16"/>
  <c r="H167" i="16"/>
  <c r="E170" i="16"/>
  <c r="G168" i="16"/>
  <c r="I55" i="12" l="1"/>
  <c r="F58" i="12"/>
  <c r="L52" i="12"/>
  <c r="M52" i="12" s="1"/>
  <c r="N52" i="12" s="1"/>
  <c r="E59" i="12"/>
  <c r="J54" i="12"/>
  <c r="K53" i="12"/>
  <c r="H56" i="12"/>
  <c r="G57" i="12"/>
  <c r="H168" i="16"/>
  <c r="G169" i="16"/>
  <c r="I167" i="16"/>
  <c r="E171" i="16"/>
  <c r="J166" i="16"/>
  <c r="F170" i="16"/>
  <c r="L53" i="12" l="1"/>
  <c r="M53" i="12" s="1"/>
  <c r="N53" i="12" s="1"/>
  <c r="G58" i="12"/>
  <c r="J55" i="12"/>
  <c r="K54" i="12"/>
  <c r="H57" i="12"/>
  <c r="F59" i="12"/>
  <c r="I56" i="12"/>
  <c r="G170" i="16"/>
  <c r="J167" i="16"/>
  <c r="H169" i="16"/>
  <c r="F171" i="16"/>
  <c r="K166" i="16"/>
  <c r="I168" i="16"/>
  <c r="L54" i="12" l="1"/>
  <c r="M54" i="12" s="1"/>
  <c r="J56" i="12"/>
  <c r="K55" i="12"/>
  <c r="G59" i="12"/>
  <c r="H58" i="12"/>
  <c r="I57" i="12"/>
  <c r="M166" i="16"/>
  <c r="K167" i="16"/>
  <c r="J168" i="16"/>
  <c r="I169" i="16"/>
  <c r="H170" i="16"/>
  <c r="G171" i="16"/>
  <c r="N54" i="12" l="1"/>
  <c r="H59" i="12"/>
  <c r="L55" i="12"/>
  <c r="M55" i="12" s="1"/>
  <c r="J57" i="12"/>
  <c r="K56" i="12"/>
  <c r="I58" i="12"/>
  <c r="J169" i="16"/>
  <c r="M167" i="16"/>
  <c r="I170" i="16"/>
  <c r="H171" i="16"/>
  <c r="L166" i="16"/>
  <c r="K168" i="16"/>
  <c r="N55" i="12" l="1"/>
  <c r="J58" i="12"/>
  <c r="I59" i="12"/>
  <c r="L56" i="12"/>
  <c r="M56" i="12" s="1"/>
  <c r="K57" i="12"/>
  <c r="L167" i="16"/>
  <c r="J170" i="16"/>
  <c r="K169" i="16"/>
  <c r="I171" i="16"/>
  <c r="M168" i="16"/>
  <c r="N56" i="12" l="1"/>
  <c r="K58" i="12"/>
  <c r="J59" i="12"/>
  <c r="L57" i="12"/>
  <c r="M57" i="12" s="1"/>
  <c r="M169" i="16"/>
  <c r="L168" i="16"/>
  <c r="J171" i="16"/>
  <c r="K170" i="16"/>
  <c r="N57" i="12" l="1"/>
  <c r="L58" i="12"/>
  <c r="M58" i="12" s="1"/>
  <c r="K59" i="12"/>
  <c r="L169" i="16"/>
  <c r="M170" i="16"/>
  <c r="K171" i="16"/>
  <c r="N58" i="12" l="1"/>
  <c r="L59" i="12"/>
  <c r="M59" i="12" s="1"/>
  <c r="L170" i="16"/>
  <c r="M171" i="16"/>
  <c r="N59" i="12" l="1"/>
  <c r="U78" i="16"/>
  <c r="L171" i="16"/>
  <c r="S134" i="16" l="1"/>
  <c r="S135" i="16" s="1"/>
  <c r="S136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C100" authorId="0" shapeId="0" xr:uid="{00000000-0006-0000-0300-000001000000}">
      <text>
        <r>
          <rPr>
            <b/>
            <sz val="9"/>
            <color indexed="81"/>
            <rFont val="MS P ゴシック"/>
            <family val="3"/>
            <charset val="128"/>
          </rPr>
          <t>「市町村別」シートで地域・市町村名を選択すると各地域に対応する番号（下の番号）が自動で入力される。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<sst xmlns="http://schemas.openxmlformats.org/spreadsheetml/2006/main" count="1921" uniqueCount="296">
  <si>
    <t>県    計</t>
  </si>
  <si>
    <t>01</t>
  </si>
  <si>
    <t>那 覇 市</t>
  </si>
  <si>
    <t>02</t>
  </si>
  <si>
    <t>宜野湾市</t>
  </si>
  <si>
    <t>03</t>
  </si>
  <si>
    <t>石 垣 市</t>
  </si>
  <si>
    <t>04</t>
  </si>
  <si>
    <t>浦 添 市</t>
  </si>
  <si>
    <t>05</t>
  </si>
  <si>
    <t>名 護 市</t>
  </si>
  <si>
    <t>06</t>
  </si>
  <si>
    <t>糸 満 市</t>
  </si>
  <si>
    <t>07</t>
  </si>
  <si>
    <t>沖 縄 市</t>
  </si>
  <si>
    <t>08</t>
  </si>
  <si>
    <t>09</t>
  </si>
  <si>
    <t>国 頭 村</t>
  </si>
  <si>
    <t>大宜味村</t>
  </si>
  <si>
    <t>東    村</t>
  </si>
  <si>
    <t>今帰仁村</t>
  </si>
  <si>
    <t>本 部 町</t>
  </si>
  <si>
    <t>恩 納 村</t>
  </si>
  <si>
    <t>宜野座村</t>
  </si>
  <si>
    <t>金 武 町</t>
  </si>
  <si>
    <t>伊 江 村</t>
  </si>
  <si>
    <t>読 谷 村</t>
  </si>
  <si>
    <t>嘉手納町</t>
  </si>
  <si>
    <t>北 谷 町</t>
  </si>
  <si>
    <t>北中城村</t>
  </si>
  <si>
    <t>中 城 村</t>
  </si>
  <si>
    <t>西 原 町</t>
  </si>
  <si>
    <t>与那原町</t>
  </si>
  <si>
    <t>南風原町</t>
  </si>
  <si>
    <t>渡嘉敷村</t>
  </si>
  <si>
    <t>座間味村</t>
  </si>
  <si>
    <t>粟 国 村</t>
  </si>
  <si>
    <t>渡名喜村</t>
  </si>
  <si>
    <t>南大東村</t>
  </si>
  <si>
    <t>北大東村</t>
  </si>
  <si>
    <t>伊平屋村</t>
  </si>
  <si>
    <t>伊是名村</t>
  </si>
  <si>
    <t>多良間村</t>
  </si>
  <si>
    <t>竹 富 町</t>
  </si>
  <si>
    <t>与那国町</t>
  </si>
  <si>
    <t>豊見城市</t>
    <rPh sb="0" eb="4">
      <t>トミグスクシ</t>
    </rPh>
    <phoneticPr fontId="4"/>
  </si>
  <si>
    <t>うるま市</t>
    <rPh sb="3" eb="4">
      <t>シ</t>
    </rPh>
    <phoneticPr fontId="4"/>
  </si>
  <si>
    <t>宮古島市</t>
    <rPh sb="0" eb="3">
      <t>ミヤコジマ</t>
    </rPh>
    <rPh sb="3" eb="4">
      <t>シ</t>
    </rPh>
    <phoneticPr fontId="4"/>
  </si>
  <si>
    <t>南 城 市</t>
    <rPh sb="0" eb="1">
      <t>ミナミ</t>
    </rPh>
    <rPh sb="2" eb="3">
      <t>シロ</t>
    </rPh>
    <rPh sb="4" eb="5">
      <t>シ</t>
    </rPh>
    <phoneticPr fontId="4"/>
  </si>
  <si>
    <t>久米島町</t>
    <rPh sb="0" eb="2">
      <t>クメ</t>
    </rPh>
    <rPh sb="2" eb="3">
      <t>ジマ</t>
    </rPh>
    <rPh sb="3" eb="4">
      <t>チョウ</t>
    </rPh>
    <phoneticPr fontId="4"/>
  </si>
  <si>
    <t>八重瀬町</t>
    <rPh sb="0" eb="2">
      <t>ヤエ</t>
    </rPh>
    <rPh sb="2" eb="3">
      <t>セ</t>
    </rPh>
    <rPh sb="3" eb="4">
      <t>チョウ</t>
    </rPh>
    <phoneticPr fontId="4"/>
  </si>
  <si>
    <t>農業</t>
    <rPh sb="0" eb="2">
      <t>ノウギョウ</t>
    </rPh>
    <phoneticPr fontId="3"/>
  </si>
  <si>
    <t>林業</t>
    <rPh sb="0" eb="2">
      <t>リンギョウ</t>
    </rPh>
    <phoneticPr fontId="3"/>
  </si>
  <si>
    <t>水産業</t>
    <rPh sb="0" eb="3">
      <t>スイサンギョウ</t>
    </rPh>
    <phoneticPr fontId="3"/>
  </si>
  <si>
    <t>鉱業</t>
    <rPh sb="0" eb="2">
      <t>コウギョウ</t>
    </rPh>
    <phoneticPr fontId="3"/>
  </si>
  <si>
    <t>製造業</t>
    <rPh sb="0" eb="3">
      <t>セイゾウギョウ</t>
    </rPh>
    <phoneticPr fontId="3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</si>
  <si>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5">
      <t>ショリギョウ</t>
    </rPh>
    <phoneticPr fontId="3"/>
  </si>
  <si>
    <t>建設業</t>
    <rPh sb="0" eb="3">
      <t>ケンセツギョウ</t>
    </rPh>
    <phoneticPr fontId="3"/>
  </si>
  <si>
    <t>卸売・小売業</t>
    <rPh sb="0" eb="2">
      <t>オロシウリ</t>
    </rPh>
    <rPh sb="3" eb="6">
      <t>コウリギョウ</t>
    </rPh>
    <phoneticPr fontId="3"/>
  </si>
  <si>
    <t>運輸・郵便業</t>
    <rPh sb="0" eb="2">
      <t>ウンユ</t>
    </rPh>
    <rPh sb="3" eb="5">
      <t>ユウビン</t>
    </rPh>
    <rPh sb="5" eb="6">
      <t>ギョウ</t>
    </rPh>
    <phoneticPr fontId="3"/>
  </si>
  <si>
    <t>宿泊・飲食サービス業</t>
    <rPh sb="0" eb="2">
      <t>シュクハク</t>
    </rPh>
    <rPh sb="3" eb="5">
      <t>インショク</t>
    </rPh>
    <rPh sb="9" eb="10">
      <t>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</si>
  <si>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</si>
  <si>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金融・保険業</t>
    <rPh sb="0" eb="2">
      <t>キンユウ</t>
    </rPh>
    <rPh sb="3" eb="6">
      <t>ホケンギョウ</t>
    </rPh>
    <phoneticPr fontId="3"/>
  </si>
  <si>
    <t>不動産業</t>
    <rPh sb="0" eb="4">
      <t>フドウサンギョウ</t>
    </rPh>
    <phoneticPr fontId="3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</si>
  <si>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3"/>
  </si>
  <si>
    <t>公務</t>
    <rPh sb="0" eb="2">
      <t>コウム</t>
    </rPh>
    <phoneticPr fontId="3"/>
  </si>
  <si>
    <t>教育</t>
    <rPh sb="0" eb="2">
      <t>キョウイク</t>
    </rPh>
    <phoneticPr fontId="3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</si>
  <si>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3"/>
  </si>
  <si>
    <t>その他のサービス</t>
    <rPh sb="2" eb="3">
      <t>タ</t>
    </rPh>
    <phoneticPr fontId="3"/>
  </si>
  <si>
    <t>輸入品に課される税・関税等</t>
    <rPh sb="0" eb="3">
      <t>ユニュウヒン</t>
    </rPh>
    <rPh sb="4" eb="5">
      <t>カ</t>
    </rPh>
    <rPh sb="8" eb="9">
      <t>ゼイ</t>
    </rPh>
    <rPh sb="10" eb="12">
      <t>カンゼイ</t>
    </rPh>
    <rPh sb="12" eb="13">
      <t>トウ</t>
    </rPh>
    <phoneticPr fontId="3"/>
  </si>
  <si>
    <t>小計</t>
    <rPh sb="0" eb="2">
      <t>ショウケイ</t>
    </rPh>
    <phoneticPr fontId="3"/>
  </si>
  <si>
    <t>合計</t>
    <rPh sb="0" eb="2">
      <t>ゴウケイ</t>
    </rPh>
    <phoneticPr fontId="3"/>
  </si>
  <si>
    <t>第１次産業</t>
    <rPh sb="0" eb="1">
      <t>ダイ</t>
    </rPh>
    <rPh sb="2" eb="3">
      <t>ツギ</t>
    </rPh>
    <rPh sb="3" eb="5">
      <t>サンギョウ</t>
    </rPh>
    <phoneticPr fontId="3"/>
  </si>
  <si>
    <t>第２次産業</t>
    <rPh sb="0" eb="1">
      <t>ダイ</t>
    </rPh>
    <rPh sb="2" eb="3">
      <t>ツギ</t>
    </rPh>
    <rPh sb="3" eb="5">
      <t>サンギョウ</t>
    </rPh>
    <phoneticPr fontId="3"/>
  </si>
  <si>
    <t>第３次産業</t>
    <rPh sb="0" eb="1">
      <t>ダイ</t>
    </rPh>
    <rPh sb="2" eb="3">
      <t>ツギ</t>
    </rPh>
    <rPh sb="3" eb="5">
      <t>サンギョウ</t>
    </rPh>
    <phoneticPr fontId="3"/>
  </si>
  <si>
    <t>経済活動別市町村内総生産</t>
    <rPh sb="0" eb="2">
      <t>ケイザイ</t>
    </rPh>
    <rPh sb="2" eb="4">
      <t>カツドウ</t>
    </rPh>
    <rPh sb="4" eb="5">
      <t>ベツ</t>
    </rPh>
    <rPh sb="5" eb="8">
      <t>シチョウソン</t>
    </rPh>
    <rPh sb="8" eb="9">
      <t>ナイ</t>
    </rPh>
    <rPh sb="9" eb="12">
      <t>ソウセイサン</t>
    </rPh>
    <phoneticPr fontId="4"/>
  </si>
  <si>
    <t>Ｃ</t>
    <phoneticPr fontId="3"/>
  </si>
  <si>
    <t>Ｄ</t>
    <phoneticPr fontId="3"/>
  </si>
  <si>
    <t>Ｅ</t>
    <phoneticPr fontId="3"/>
  </si>
  <si>
    <t>Ｆ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</si>
  <si>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</si>
  <si>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</si>
  <si>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</si>
  <si>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</si>
  <si>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Ｋ</t>
    <phoneticPr fontId="3"/>
  </si>
  <si>
    <t>Ｌ</t>
    <phoneticPr fontId="3"/>
  </si>
  <si>
    <t>Ｍ</t>
    <phoneticPr fontId="3"/>
  </si>
  <si>
    <t>Ｎ</t>
    <phoneticPr fontId="3"/>
  </si>
  <si>
    <t>Ｏ</t>
    <phoneticPr fontId="3"/>
  </si>
  <si>
    <t>Ｐ</t>
    <phoneticPr fontId="3"/>
  </si>
  <si>
    <t>Ｑ</t>
    <phoneticPr fontId="3"/>
  </si>
  <si>
    <t>Ｒ</t>
    <phoneticPr fontId="3"/>
  </si>
  <si>
    <t>Ｓ</t>
    <phoneticPr fontId="3"/>
  </si>
  <si>
    <t>Ｔ</t>
    <phoneticPr fontId="3"/>
  </si>
  <si>
    <t>初期値→</t>
    <rPh sb="0" eb="3">
      <t>ショキチ</t>
    </rPh>
    <phoneticPr fontId="3"/>
  </si>
  <si>
    <t>経済活動別シート：行コード</t>
    <rPh sb="0" eb="2">
      <t>ケイザイ</t>
    </rPh>
    <rPh sb="2" eb="4">
      <t>カツドウ</t>
    </rPh>
    <rPh sb="4" eb="5">
      <t>ベツ</t>
    </rPh>
    <rPh sb="9" eb="10">
      <t>ギョウ</t>
    </rPh>
    <phoneticPr fontId="3"/>
  </si>
  <si>
    <t>経済活動別シート：列コード</t>
    <rPh sb="0" eb="2">
      <t>ケイザイ</t>
    </rPh>
    <rPh sb="2" eb="4">
      <t>カツドウ</t>
    </rPh>
    <rPh sb="4" eb="5">
      <t>ベツ</t>
    </rPh>
    <rPh sb="9" eb="10">
      <t>レツ</t>
    </rPh>
    <phoneticPr fontId="3"/>
  </si>
  <si>
    <t>参照シート名</t>
    <rPh sb="0" eb="2">
      <t>サンショウ</t>
    </rPh>
    <rPh sb="5" eb="6">
      <t>メイ</t>
    </rPh>
    <phoneticPr fontId="3"/>
  </si>
  <si>
    <t>実数（百万円）</t>
    <rPh sb="0" eb="2">
      <t>ジッスウ</t>
    </rPh>
    <rPh sb="3" eb="4">
      <t>ヒャク</t>
    </rPh>
    <rPh sb="4" eb="6">
      <t>マンエン</t>
    </rPh>
    <phoneticPr fontId="3"/>
  </si>
  <si>
    <t>小計（=1+2+3）</t>
    <rPh sb="0" eb="2">
      <t>ショウケイ</t>
    </rPh>
    <phoneticPr fontId="3"/>
  </si>
  <si>
    <t>輸入品に課される税・関税　等</t>
    <rPh sb="0" eb="3">
      <t>ユニュウヒン</t>
    </rPh>
    <rPh sb="4" eb="5">
      <t>カ</t>
    </rPh>
    <rPh sb="8" eb="9">
      <t>ゼイ</t>
    </rPh>
    <rPh sb="10" eb="12">
      <t>カンゼイ</t>
    </rPh>
    <rPh sb="13" eb="14">
      <t>トウ</t>
    </rPh>
    <phoneticPr fontId="3"/>
  </si>
  <si>
    <t>市町村内総生産（=5+6）</t>
    <rPh sb="0" eb="3">
      <t>シチョウソン</t>
    </rPh>
    <rPh sb="3" eb="4">
      <t>ナイ</t>
    </rPh>
    <rPh sb="4" eb="7">
      <t>ソウセイサン</t>
    </rPh>
    <phoneticPr fontId="3"/>
  </si>
  <si>
    <t>増加率（％）</t>
    <rPh sb="0" eb="3">
      <t>ゾウカリツ</t>
    </rPh>
    <phoneticPr fontId="3"/>
  </si>
  <si>
    <t>構成比（％）</t>
    <rPh sb="0" eb="3">
      <t>コウセイヒ</t>
    </rPh>
    <phoneticPr fontId="3"/>
  </si>
  <si>
    <t>増加寄与度（％）</t>
    <rPh sb="0" eb="2">
      <t>ゾウカ</t>
    </rPh>
    <rPh sb="2" eb="5">
      <t>キヨド</t>
    </rPh>
    <phoneticPr fontId="3"/>
  </si>
  <si>
    <t>Ｖ</t>
    <phoneticPr fontId="3"/>
  </si>
  <si>
    <t>★構成比データ</t>
    <rPh sb="1" eb="4">
      <t>コウセイヒ</t>
    </rPh>
    <phoneticPr fontId="3"/>
  </si>
  <si>
    <t>電気・ガス・水道</t>
    <rPh sb="0" eb="2">
      <t>デンキ</t>
    </rPh>
    <rPh sb="6" eb="8">
      <t>スイドウ</t>
    </rPh>
    <phoneticPr fontId="3"/>
  </si>
  <si>
    <t>・廃棄物処理業</t>
    <rPh sb="1" eb="4">
      <t>ハイキブツ</t>
    </rPh>
    <rPh sb="4" eb="7">
      <t>ショリギョウ</t>
    </rPh>
    <phoneticPr fontId="3"/>
  </si>
  <si>
    <t>サービス業</t>
    <rPh sb="4" eb="5">
      <t>ギョウ</t>
    </rPh>
    <phoneticPr fontId="3"/>
  </si>
  <si>
    <t>宿泊・飲食</t>
    <rPh sb="0" eb="2">
      <t>シュクハク</t>
    </rPh>
    <rPh sb="3" eb="5">
      <t>インショク</t>
    </rPh>
    <phoneticPr fontId="3"/>
  </si>
  <si>
    <t>専門・科学技術、</t>
    <rPh sb="0" eb="2">
      <t>センモン</t>
    </rPh>
    <rPh sb="3" eb="5">
      <t>カガク</t>
    </rPh>
    <rPh sb="5" eb="7">
      <t>ギジュツ</t>
    </rPh>
    <phoneticPr fontId="3"/>
  </si>
  <si>
    <t>業務支援サービス業</t>
  </si>
  <si>
    <t>保健衛生・</t>
    <rPh sb="0" eb="2">
      <t>ホケン</t>
    </rPh>
    <rPh sb="2" eb="4">
      <t>エイセイ</t>
    </rPh>
    <phoneticPr fontId="3"/>
  </si>
  <si>
    <t>社会事業</t>
  </si>
  <si>
    <t>その他の</t>
    <rPh sb="2" eb="3">
      <t>タ</t>
    </rPh>
    <phoneticPr fontId="3"/>
  </si>
  <si>
    <t>サービス</t>
    <phoneticPr fontId="3"/>
  </si>
  <si>
    <t>　</t>
    <phoneticPr fontId="3"/>
  </si>
  <si>
    <t>★経済成長率データ（対前年度比）</t>
    <rPh sb="1" eb="3">
      <t>ケイザイ</t>
    </rPh>
    <rPh sb="3" eb="6">
      <t>セイチョウリツ</t>
    </rPh>
    <rPh sb="10" eb="11">
      <t>タイ</t>
    </rPh>
    <rPh sb="11" eb="14">
      <t>ゼンネンド</t>
    </rPh>
    <rPh sb="14" eb="15">
      <t>ヒ</t>
    </rPh>
    <phoneticPr fontId="3"/>
  </si>
  <si>
    <t>市町村内総生産</t>
    <rPh sb="0" eb="3">
      <t>シチョウソン</t>
    </rPh>
    <rPh sb="3" eb="4">
      <t>ナイ</t>
    </rPh>
    <rPh sb="4" eb="7">
      <t>ソウセイサン</t>
    </rPh>
    <phoneticPr fontId="3"/>
  </si>
  <si>
    <t>電気・ガス・水道・廃棄物</t>
    <rPh sb="0" eb="2">
      <t>デンキ</t>
    </rPh>
    <rPh sb="6" eb="8">
      <t>スイドウ</t>
    </rPh>
    <rPh sb="9" eb="12">
      <t>ハイキブツ</t>
    </rPh>
    <phoneticPr fontId="3"/>
  </si>
  <si>
    <t>☆特化計数データ</t>
    <rPh sb="1" eb="3">
      <t>トッカ</t>
    </rPh>
    <rPh sb="3" eb="5">
      <t>ケイスウ</t>
    </rPh>
    <phoneticPr fontId="3"/>
  </si>
  <si>
    <t>専門・科学技術、
業務支援</t>
    <rPh sb="0" eb="2">
      <t>センモン</t>
    </rPh>
    <rPh sb="3" eb="5">
      <t>カガク</t>
    </rPh>
    <rPh sb="5" eb="7">
      <t>ギジュツ</t>
    </rPh>
    <rPh sb="9" eb="11">
      <t>ギョウム</t>
    </rPh>
    <rPh sb="11" eb="13">
      <t>シエン</t>
    </rPh>
    <phoneticPr fontId="3"/>
  </si>
  <si>
    <t>電気・ガス・
水道・廃棄物</t>
    <rPh sb="0" eb="2">
      <t>デンキ</t>
    </rPh>
    <rPh sb="7" eb="9">
      <t>スイドウ</t>
    </rPh>
    <rPh sb="10" eb="13">
      <t>ハイキブツ</t>
    </rPh>
    <phoneticPr fontId="3"/>
  </si>
  <si>
    <t>宿泊・飲食
サービス業</t>
    <rPh sb="0" eb="2">
      <t>シュクハク</t>
    </rPh>
    <rPh sb="3" eb="5">
      <t>インショク</t>
    </rPh>
    <rPh sb="10" eb="11">
      <t>ギョウ</t>
    </rPh>
    <phoneticPr fontId="3"/>
  </si>
  <si>
    <t>その他の
サービス</t>
    <rPh sb="2" eb="3">
      <t>タ</t>
    </rPh>
    <phoneticPr fontId="3"/>
  </si>
  <si>
    <t>保健衛生・
社会事業</t>
    <rPh sb="0" eb="2">
      <t>ホケン</t>
    </rPh>
    <rPh sb="2" eb="4">
      <t>エイセイ</t>
    </rPh>
    <rPh sb="6" eb="8">
      <t>シャカイ</t>
    </rPh>
    <rPh sb="8" eb="10">
      <t>ジギョウ</t>
    </rPh>
    <phoneticPr fontId="3"/>
  </si>
  <si>
    <t>シートの「開始年＋１」（H24）における開始行（県計）の行番号を入力</t>
    <rPh sb="5" eb="7">
      <t>カイシ</t>
    </rPh>
    <rPh sb="7" eb="8">
      <t>ネン</t>
    </rPh>
    <rPh sb="20" eb="23">
      <t>カイシギョウ</t>
    </rPh>
    <rPh sb="24" eb="26">
      <t>ケンケイ</t>
    </rPh>
    <rPh sb="28" eb="31">
      <t>ギョウバンゴウ</t>
    </rPh>
    <rPh sb="32" eb="34">
      <t>ニュウリョク</t>
    </rPh>
    <phoneticPr fontId="3"/>
  </si>
  <si>
    <t>シートの「開始年」（H23）における開始行（県計）の行番号を入力</t>
    <rPh sb="5" eb="7">
      <t>カイシ</t>
    </rPh>
    <rPh sb="7" eb="8">
      <t>ネン</t>
    </rPh>
    <rPh sb="18" eb="21">
      <t>カイシギョウ</t>
    </rPh>
    <rPh sb="22" eb="24">
      <t>ケンケイ</t>
    </rPh>
    <rPh sb="26" eb="29">
      <t>ギョウバンゴウ</t>
    </rPh>
    <rPh sb="30" eb="32">
      <t>ニュウリョク</t>
    </rPh>
    <phoneticPr fontId="3"/>
  </si>
  <si>
    <t>経済活動別</t>
    <rPh sb="0" eb="2">
      <t>ケイザイ</t>
    </rPh>
    <rPh sb="2" eb="4">
      <t>カツドウ</t>
    </rPh>
    <rPh sb="4" eb="5">
      <t>ベツ</t>
    </rPh>
    <phoneticPr fontId="3"/>
  </si>
  <si>
    <t>Ｕ</t>
    <phoneticPr fontId="3"/>
  </si>
  <si>
    <t>Ｗ</t>
    <phoneticPr fontId="3"/>
  </si>
  <si>
    <t>Ｘ</t>
    <phoneticPr fontId="3"/>
  </si>
  <si>
    <t>Ｙ</t>
    <phoneticPr fontId="3"/>
  </si>
  <si>
    <t>Ｚ</t>
    <phoneticPr fontId="3"/>
  </si>
  <si>
    <t>コード</t>
    <phoneticPr fontId="3"/>
  </si>
  <si>
    <t>市町村内総生産（合計）</t>
    <rPh sb="0" eb="3">
      <t>シチョウソン</t>
    </rPh>
    <rPh sb="3" eb="4">
      <t>ナイ</t>
    </rPh>
    <rPh sb="4" eb="7">
      <t>ソウセイサン</t>
    </rPh>
    <rPh sb="8" eb="10">
      <t>ゴウケイ</t>
    </rPh>
    <phoneticPr fontId="3"/>
  </si>
  <si>
    <t>経済活動別総生産（小計）</t>
    <rPh sb="0" eb="2">
      <t>ケイザイ</t>
    </rPh>
    <rPh sb="2" eb="4">
      <t>カツドウ</t>
    </rPh>
    <rPh sb="4" eb="5">
      <t>ベツ</t>
    </rPh>
    <rPh sb="5" eb="8">
      <t>ソウセイサン</t>
    </rPh>
    <rPh sb="9" eb="11">
      <t>ショウケイ</t>
    </rPh>
    <phoneticPr fontId="3"/>
  </si>
  <si>
    <t>沖 縄 県</t>
    <rPh sb="0" eb="1">
      <t>オキ</t>
    </rPh>
    <rPh sb="2" eb="3">
      <t>ナワ</t>
    </rPh>
    <rPh sb="4" eb="5">
      <t>ケン</t>
    </rPh>
    <phoneticPr fontId="3"/>
  </si>
  <si>
    <t>北　　部</t>
    <rPh sb="0" eb="1">
      <t>キタ</t>
    </rPh>
    <rPh sb="3" eb="4">
      <t>ブ</t>
    </rPh>
    <phoneticPr fontId="3"/>
  </si>
  <si>
    <t>中　　部</t>
    <rPh sb="0" eb="1">
      <t>ナカ</t>
    </rPh>
    <rPh sb="3" eb="4">
      <t>ブ</t>
    </rPh>
    <phoneticPr fontId="3"/>
  </si>
  <si>
    <t>南　　部</t>
    <rPh sb="0" eb="1">
      <t>ミナミ</t>
    </rPh>
    <rPh sb="3" eb="4">
      <t>ブ</t>
    </rPh>
    <phoneticPr fontId="3"/>
  </si>
  <si>
    <t>那　　覇</t>
    <rPh sb="0" eb="1">
      <t>ナ</t>
    </rPh>
    <rPh sb="3" eb="4">
      <t>ハ</t>
    </rPh>
    <phoneticPr fontId="3"/>
  </si>
  <si>
    <t>宮　　古</t>
    <rPh sb="0" eb="1">
      <t>ミヤ</t>
    </rPh>
    <rPh sb="3" eb="4">
      <t>イニシエ</t>
    </rPh>
    <phoneticPr fontId="3"/>
  </si>
  <si>
    <t>八 重 山</t>
    <rPh sb="0" eb="1">
      <t>ハチ</t>
    </rPh>
    <rPh sb="2" eb="3">
      <t>ジュウ</t>
    </rPh>
    <rPh sb="4" eb="5">
      <t>ヤマ</t>
    </rPh>
    <phoneticPr fontId="3"/>
  </si>
  <si>
    <t>加算値</t>
    <rPh sb="0" eb="2">
      <t>カサン</t>
    </rPh>
    <rPh sb="2" eb="3">
      <t>チ</t>
    </rPh>
    <phoneticPr fontId="3"/>
  </si>
  <si>
    <t>(1)</t>
    <phoneticPr fontId="3"/>
  </si>
  <si>
    <t>(2)</t>
  </si>
  <si>
    <t>(3)</t>
  </si>
  <si>
    <t>(4)</t>
  </si>
  <si>
    <t>(5)</t>
  </si>
  <si>
    <t>(6)</t>
  </si>
  <si>
    <t>北　　部</t>
    <rPh sb="0" eb="1">
      <t>キタ</t>
    </rPh>
    <rPh sb="3" eb="4">
      <t>ブ</t>
    </rPh>
    <phoneticPr fontId="3"/>
  </si>
  <si>
    <t>中　　部</t>
    <rPh sb="0" eb="1">
      <t>ナカ</t>
    </rPh>
    <rPh sb="3" eb="4">
      <t>ブ</t>
    </rPh>
    <phoneticPr fontId="3"/>
  </si>
  <si>
    <t>南　　部</t>
    <rPh sb="0" eb="1">
      <t>ミナミ</t>
    </rPh>
    <rPh sb="3" eb="4">
      <t>ブ</t>
    </rPh>
    <phoneticPr fontId="3"/>
  </si>
  <si>
    <t>那　　覇</t>
    <rPh sb="0" eb="1">
      <t>ナ</t>
    </rPh>
    <rPh sb="3" eb="4">
      <t>ハ</t>
    </rPh>
    <phoneticPr fontId="3"/>
  </si>
  <si>
    <t>宮　　古</t>
    <rPh sb="0" eb="1">
      <t>ミヤ</t>
    </rPh>
    <rPh sb="3" eb="4">
      <t>イニシエ</t>
    </rPh>
    <phoneticPr fontId="3"/>
  </si>
  <si>
    <t>八 重 山</t>
    <rPh sb="0" eb="1">
      <t>ハチ</t>
    </rPh>
    <rPh sb="2" eb="3">
      <t>ジュウ</t>
    </rPh>
    <rPh sb="4" eb="5">
      <t>ヤマ</t>
    </rPh>
    <phoneticPr fontId="3"/>
  </si>
  <si>
    <t>(1)</t>
    <phoneticPr fontId="3"/>
  </si>
  <si>
    <t>01</t>
    <phoneticPr fontId="3"/>
  </si>
  <si>
    <t>00</t>
  </si>
  <si>
    <t>選択地域の開始番号</t>
    <rPh sb="0" eb="2">
      <t>センタク</t>
    </rPh>
    <rPh sb="2" eb="4">
      <t>チイキ</t>
    </rPh>
    <rPh sb="5" eb="7">
      <t>カイシ</t>
    </rPh>
    <rPh sb="7" eb="9">
      <t>バンゴウ</t>
    </rPh>
    <phoneticPr fontId="3"/>
  </si>
  <si>
    <t>○ コード表　No.1</t>
    <rPh sb="5" eb="6">
      <t>ヒョウ</t>
    </rPh>
    <phoneticPr fontId="3"/>
  </si>
  <si>
    <t>○ コード表　No.2</t>
    <rPh sb="5" eb="6">
      <t>ヒョウ</t>
    </rPh>
    <phoneticPr fontId="3"/>
  </si>
  <si>
    <t>○ コード表　No.3</t>
    <rPh sb="5" eb="6">
      <t>ヒョウ</t>
    </rPh>
    <phoneticPr fontId="3"/>
  </si>
  <si>
    <t>開始番号</t>
    <rPh sb="0" eb="2">
      <t>カイシ</t>
    </rPh>
    <rPh sb="2" eb="4">
      <t>バンゴウ</t>
    </rPh>
    <phoneticPr fontId="3"/>
  </si>
  <si>
    <t>市町村・地域名</t>
    <rPh sb="0" eb="3">
      <t>シチョウソン</t>
    </rPh>
    <rPh sb="4" eb="7">
      <t>チイキメイ</t>
    </rPh>
    <phoneticPr fontId="3"/>
  </si>
  <si>
    <t>参照先の行番号</t>
    <rPh sb="0" eb="2">
      <t>サンショウ</t>
    </rPh>
    <rPh sb="2" eb="3">
      <t>サキ</t>
    </rPh>
    <rPh sb="4" eb="7">
      <t>ギョウバンゴウ</t>
    </rPh>
    <phoneticPr fontId="3"/>
  </si>
  <si>
    <t>　←　コード：経各項目の番号（連番）を入力（任意の値）</t>
    <rPh sb="7" eb="8">
      <t>キョウ</t>
    </rPh>
    <rPh sb="8" eb="11">
      <t>カクコウモク</t>
    </rPh>
    <rPh sb="12" eb="14">
      <t>バンゴウ</t>
    </rPh>
    <rPh sb="15" eb="17">
      <t>レンバン</t>
    </rPh>
    <rPh sb="19" eb="21">
      <t>ニュウリョク</t>
    </rPh>
    <rPh sb="22" eb="24">
      <t>ニンイ</t>
    </rPh>
    <rPh sb="25" eb="26">
      <t>アタイ</t>
    </rPh>
    <phoneticPr fontId="3"/>
  </si>
  <si>
    <t>列セル</t>
    <rPh sb="0" eb="1">
      <t>レツ</t>
    </rPh>
    <phoneticPr fontId="3"/>
  </si>
  <si>
    <t>選択産業の列セル</t>
    <rPh sb="0" eb="2">
      <t>センタク</t>
    </rPh>
    <rPh sb="2" eb="4">
      <t>サンギョウ</t>
    </rPh>
    <rPh sb="5" eb="6">
      <t>レツ</t>
    </rPh>
    <phoneticPr fontId="3"/>
  </si>
  <si>
    <t>　←　列セル：「経済活動別」シートにおける当該経済活動の列番号を入力〔基本は固定〕</t>
    <rPh sb="3" eb="4">
      <t>レツ</t>
    </rPh>
    <rPh sb="8" eb="10">
      <t>ケイザイ</t>
    </rPh>
    <rPh sb="10" eb="12">
      <t>カツドウ</t>
    </rPh>
    <rPh sb="12" eb="13">
      <t>ベツ</t>
    </rPh>
    <rPh sb="21" eb="23">
      <t>トウガイ</t>
    </rPh>
    <rPh sb="23" eb="25">
      <t>ケイザイ</t>
    </rPh>
    <rPh sb="25" eb="27">
      <t>カツドウ</t>
    </rPh>
    <rPh sb="28" eb="31">
      <t>レツバンゴウ</t>
    </rPh>
    <rPh sb="35" eb="37">
      <t>キホン</t>
    </rPh>
    <rPh sb="38" eb="40">
      <t>コテイ</t>
    </rPh>
    <phoneticPr fontId="3"/>
  </si>
  <si>
    <t>年度</t>
    <rPh sb="0" eb="2">
      <t>ネンド</t>
    </rPh>
    <phoneticPr fontId="3"/>
  </si>
  <si>
    <t>コード</t>
    <phoneticPr fontId="3"/>
  </si>
  <si>
    <t>平成23年度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</si>
  <si>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</si>
  <si>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</si>
  <si>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</si>
  <si>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</si>
  <si>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</si>
  <si>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</si>
  <si>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</si>
  <si>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t>令和元年度</t>
    <rPh sb="0" eb="2">
      <t>レイワ</t>
    </rPh>
    <rPh sb="2" eb="5">
      <t>ガンネンド</t>
    </rPh>
    <phoneticPr fontId="3"/>
  </si>
  <si>
    <t>令和２年度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</si>
  <si>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</si>
  <si>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</si>
  <si>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</si>
  <si>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t>令和６年度</t>
    <rPh sb="0" eb="2">
      <t>レイワ</t>
    </rPh>
    <rPh sb="3" eb="5">
      <t>ネンド</t>
    </rPh>
    <phoneticPr fontId="3"/>
  </si>
  <si>
    <t>令和７年度</t>
    <rPh sb="0" eb="2">
      <t>レイワ</t>
    </rPh>
    <rPh sb="3" eb="5">
      <t>ネンド</t>
    </rPh>
    <phoneticPr fontId="3"/>
  </si>
  <si>
    <t>令和８年度</t>
    <rPh sb="0" eb="2">
      <t>レイワ</t>
    </rPh>
    <rPh sb="3" eb="5">
      <t>ネンド</t>
    </rPh>
    <phoneticPr fontId="3"/>
  </si>
  <si>
    <t>令和９年度</t>
    <rPh sb="0" eb="2">
      <t>レイワ</t>
    </rPh>
    <rPh sb="3" eb="5">
      <t>ネンド</t>
    </rPh>
    <phoneticPr fontId="3"/>
  </si>
  <si>
    <t>令和10年度</t>
    <rPh sb="0" eb="2">
      <t>レイワ</t>
    </rPh>
    <rPh sb="4" eb="6">
      <t>ネンド</t>
    </rPh>
    <phoneticPr fontId="3"/>
  </si>
  <si>
    <t>令和11年度</t>
    <rPh sb="0" eb="2">
      <t>レイワ</t>
    </rPh>
    <rPh sb="4" eb="6">
      <t>ネンド</t>
    </rPh>
    <phoneticPr fontId="3"/>
  </si>
  <si>
    <t>令和12年度</t>
    <rPh sb="0" eb="2">
      <t>レイワ</t>
    </rPh>
    <rPh sb="4" eb="6">
      <t>ネンド</t>
    </rPh>
    <phoneticPr fontId="3"/>
  </si>
  <si>
    <t>令和13年度</t>
    <rPh sb="0" eb="2">
      <t>レイワ</t>
    </rPh>
    <rPh sb="4" eb="6">
      <t>ネンド</t>
    </rPh>
    <phoneticPr fontId="3"/>
  </si>
  <si>
    <t>令和14年度</t>
    <rPh sb="0" eb="2">
      <t>レイワ</t>
    </rPh>
    <rPh sb="4" eb="6">
      <t>ネンド</t>
    </rPh>
    <phoneticPr fontId="3"/>
  </si>
  <si>
    <t>令和15年度</t>
    <rPh sb="0" eb="2">
      <t>レイワ</t>
    </rPh>
    <rPh sb="4" eb="6">
      <t>ネンド</t>
    </rPh>
    <phoneticPr fontId="3"/>
  </si>
  <si>
    <t>H23</t>
    <phoneticPr fontId="3"/>
  </si>
  <si>
    <t>H24</t>
  </si>
  <si>
    <t>H25</t>
  </si>
  <si>
    <t>H26</t>
  </si>
  <si>
    <t>H27</t>
  </si>
  <si>
    <t>H28</t>
  </si>
  <si>
    <t>H29</t>
  </si>
  <si>
    <t>H30</t>
  </si>
  <si>
    <t>R1</t>
    <phoneticPr fontId="3"/>
  </si>
  <si>
    <t>表記</t>
    <rPh sb="0" eb="2">
      <t>ヒョウキ</t>
    </rPh>
    <phoneticPr fontId="3"/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</si>
  <si>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</si>
  <si>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</si>
  <si>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</si>
  <si>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</si>
  <si>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</si>
  <si>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</si>
  <si>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</si>
  <si>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</si>
  <si>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</si>
  <si>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</si>
  <si>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</si>
  <si>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</si>
  <si>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</si>
  <si>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</si>
  <si>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地域コード</t>
    <rPh sb="0" eb="2">
      <t>チイキ</t>
    </rPh>
    <phoneticPr fontId="3"/>
  </si>
  <si>
    <t>年度コード</t>
    <rPh sb="0" eb="2">
      <t>ネンド</t>
    </rPh>
    <phoneticPr fontId="3"/>
  </si>
  <si>
    <t>選択年度</t>
    <rPh sb="0" eb="2">
      <t>センタク</t>
    </rPh>
    <rPh sb="2" eb="4">
      <t>ネンド</t>
    </rPh>
    <phoneticPr fontId="3"/>
  </si>
  <si>
    <t>（t-1）年度</t>
    <rPh sb="5" eb="7">
      <t>ネンド</t>
    </rPh>
    <phoneticPr fontId="3"/>
  </si>
  <si>
    <t>（t-2）年度</t>
    <rPh sb="5" eb="7">
      <t>ネンド</t>
    </rPh>
    <phoneticPr fontId="3"/>
  </si>
  <si>
    <t>その他のサービス</t>
  </si>
  <si>
    <t>保健衛生・社会事業</t>
  </si>
  <si>
    <t>教育</t>
  </si>
  <si>
    <t>公務</t>
  </si>
  <si>
    <t>専門・科学技術、業務支援</t>
  </si>
  <si>
    <t>不動産業</t>
  </si>
  <si>
    <t>金融・保険業</t>
  </si>
  <si>
    <t>情報通信業</t>
  </si>
  <si>
    <t>宿泊・飲食サービス業</t>
  </si>
  <si>
    <t>運輸・郵便業</t>
  </si>
  <si>
    <t>卸売・小売業</t>
  </si>
  <si>
    <t>電気・ガス・水道・廃棄物</t>
  </si>
  <si>
    <t>建設業</t>
  </si>
  <si>
    <t>製造業</t>
  </si>
  <si>
    <t>鉱業</t>
  </si>
  <si>
    <t>水産業</t>
  </si>
  <si>
    <t>林業</t>
  </si>
  <si>
    <t>農業</t>
  </si>
  <si>
    <t>沖 縄 県</t>
    <phoneticPr fontId="3"/>
  </si>
  <si>
    <t xml:space="preserve"> ← 基本は固定</t>
    <rPh sb="3" eb="5">
      <t>キホン</t>
    </rPh>
    <rPh sb="6" eb="8">
      <t>コテイ</t>
    </rPh>
    <phoneticPr fontId="3"/>
  </si>
  <si>
    <t>〔比較用の参考値〕</t>
    <rPh sb="1" eb="3">
      <t>ヒカク</t>
    </rPh>
    <rPh sb="3" eb="4">
      <t>ヨウ</t>
    </rPh>
    <rPh sb="5" eb="7">
      <t>サンコウ</t>
    </rPh>
    <rPh sb="7" eb="8">
      <t>アタイ</t>
    </rPh>
    <phoneticPr fontId="3"/>
  </si>
  <si>
    <t>★県計に対する割合（シェア）データ（参考値の構成比）</t>
    <rPh sb="1" eb="3">
      <t>ケンケイ</t>
    </rPh>
    <rPh sb="4" eb="5">
      <t>タイ</t>
    </rPh>
    <rPh sb="7" eb="9">
      <t>ワリアイ</t>
    </rPh>
    <rPh sb="18" eb="21">
      <t>サンコウチ</t>
    </rPh>
    <rPh sb="22" eb="25">
      <t>コウセイヒ</t>
    </rPh>
    <phoneticPr fontId="3"/>
  </si>
  <si>
    <t>分析地域の総生産</t>
    <rPh sb="0" eb="2">
      <t>ブンセキ</t>
    </rPh>
    <rPh sb="2" eb="4">
      <t>チイキ</t>
    </rPh>
    <rPh sb="5" eb="8">
      <t>ソウセイサン</t>
    </rPh>
    <phoneticPr fontId="3"/>
  </si>
  <si>
    <t>県内総生産</t>
    <rPh sb="0" eb="2">
      <t>ケンナイ</t>
    </rPh>
    <rPh sb="2" eb="5">
      <t>ソウセイサン</t>
    </rPh>
    <phoneticPr fontId="3"/>
  </si>
  <si>
    <t>他</t>
    <rPh sb="0" eb="1">
      <t>ホカ</t>
    </rPh>
    <phoneticPr fontId="3"/>
  </si>
  <si>
    <t>○ 上位10位/降順並び替え</t>
    <rPh sb="2" eb="4">
      <t>ジョウイ</t>
    </rPh>
    <rPh sb="6" eb="7">
      <t>イ</t>
    </rPh>
    <rPh sb="8" eb="10">
      <t>コウジュン</t>
    </rPh>
    <rPh sb="10" eb="11">
      <t>ナラ</t>
    </rPh>
    <rPh sb="12" eb="13">
      <t>カ</t>
    </rPh>
    <phoneticPr fontId="3"/>
  </si>
  <si>
    <t>★特化係数データ</t>
    <rPh sb="1" eb="3">
      <t>トッカ</t>
    </rPh>
    <rPh sb="3" eb="5">
      <t>ケイスウ</t>
    </rPh>
    <phoneticPr fontId="3"/>
  </si>
  <si>
    <t>【比較値】</t>
    <rPh sb="1" eb="4">
      <t>ヒカクチ</t>
    </rPh>
    <phoneticPr fontId="3"/>
  </si>
  <si>
    <t>【選択地域】</t>
    <rPh sb="1" eb="3">
      <t>センタク</t>
    </rPh>
    <rPh sb="3" eb="5">
      <t>チイキ</t>
    </rPh>
    <phoneticPr fontId="3"/>
  </si>
  <si>
    <t>特化係数</t>
    <rPh sb="0" eb="2">
      <t>トッカ</t>
    </rPh>
    <rPh sb="2" eb="4">
      <t>ケイスウ</t>
    </rPh>
    <phoneticPr fontId="3"/>
  </si>
  <si>
    <t>比較地係数</t>
    <rPh sb="0" eb="3">
      <t>ヒカクチ</t>
    </rPh>
    <rPh sb="3" eb="5">
      <t>ケイスウ</t>
    </rPh>
    <phoneticPr fontId="3"/>
  </si>
  <si>
    <t>専門・科学、業務支援</t>
    <rPh sb="0" eb="2">
      <t>センモン</t>
    </rPh>
    <rPh sb="3" eb="5">
      <t>カガク</t>
    </rPh>
    <rPh sb="6" eb="8">
      <t>ギョウム</t>
    </rPh>
    <rPh sb="8" eb="10">
      <t>シエン</t>
    </rPh>
    <phoneticPr fontId="3"/>
  </si>
  <si>
    <t>地域区分</t>
    <rPh sb="0" eb="2">
      <t>チイキ</t>
    </rPh>
    <rPh sb="2" eb="4">
      <t>クブン</t>
    </rPh>
    <phoneticPr fontId="3"/>
  </si>
  <si>
    <t>(1)</t>
    <phoneticPr fontId="3"/>
  </si>
  <si>
    <t>沖 縄 県</t>
  </si>
  <si>
    <t xml:space="preserve">vlookup計算用の列番号 → </t>
    <rPh sb="7" eb="9">
      <t>ケイサン</t>
    </rPh>
    <rPh sb="9" eb="10">
      <t>ヨウ</t>
    </rPh>
    <rPh sb="11" eb="12">
      <t>レツ</t>
    </rPh>
    <rPh sb="12" eb="14">
      <t>バンゴウ</t>
    </rPh>
    <phoneticPr fontId="3"/>
  </si>
  <si>
    <t xml:space="preserve"> ↓ vlookup計算用の列番号</t>
    <phoneticPr fontId="3"/>
  </si>
  <si>
    <t>○　県経済に占めるシェア</t>
    <rPh sb="2" eb="5">
      <t>ケンケイザイ</t>
    </rPh>
    <rPh sb="6" eb="7">
      <t>シ</t>
    </rPh>
    <phoneticPr fontId="3"/>
  </si>
  <si>
    <t>○　地域経済に占めるシェア</t>
    <rPh sb="2" eb="4">
      <t>チイキ</t>
    </rPh>
    <rPh sb="4" eb="6">
      <t>ケイザイ</t>
    </rPh>
    <rPh sb="7" eb="8">
      <t>シ</t>
    </rPh>
    <phoneticPr fontId="3"/>
  </si>
  <si>
    <t>その他</t>
    <rPh sb="2" eb="3">
      <t>タ</t>
    </rPh>
    <phoneticPr fontId="3"/>
  </si>
  <si>
    <t>地域比較用〔各地域の市町村内総生産〕</t>
    <rPh sb="0" eb="1">
      <t>チイキ</t>
    </rPh>
    <rPh sb="1" eb="3">
      <t>ヒカク</t>
    </rPh>
    <rPh sb="4" eb="5">
      <t>ヨウ</t>
    </rPh>
    <rPh sb="6" eb="7">
      <t>カク</t>
    </rPh>
    <rPh sb="7" eb="9">
      <t>チイキ</t>
    </rPh>
    <rPh sb="10" eb="13">
      <t>シチョウソン</t>
    </rPh>
    <rPh sb="13" eb="14">
      <t>ナイ</t>
    </rPh>
    <rPh sb="14" eb="17">
      <t>ソウセイサン</t>
    </rPh>
    <phoneticPr fontId="3"/>
  </si>
  <si>
    <t>経済活動別シート：行コード〔選択地域用〕</t>
    <rPh sb="0" eb="2">
      <t>ケイザイ</t>
    </rPh>
    <rPh sb="2" eb="4">
      <t>カツドウ</t>
    </rPh>
    <rPh sb="4" eb="5">
      <t>ベツ</t>
    </rPh>
    <rPh sb="9" eb="10">
      <t>ギョウ</t>
    </rPh>
    <rPh sb="14" eb="16">
      <t>センタク</t>
    </rPh>
    <rPh sb="16" eb="18">
      <t>チイキ</t>
    </rPh>
    <rPh sb="18" eb="19">
      <t>ヨウ</t>
    </rPh>
    <phoneticPr fontId="3"/>
  </si>
  <si>
    <t>経済活動別市町村内総生産（百万円）</t>
    <rPh sb="0" eb="2">
      <t>ケイザイ</t>
    </rPh>
    <rPh sb="2" eb="4">
      <t>カツドウ</t>
    </rPh>
    <rPh sb="4" eb="5">
      <t>ベツ</t>
    </rPh>
    <rPh sb="5" eb="8">
      <t>シチョウソン</t>
    </rPh>
    <rPh sb="8" eb="9">
      <t>ナイ</t>
    </rPh>
    <rPh sb="9" eb="12">
      <t>ソウセイサン</t>
    </rPh>
    <rPh sb="13" eb="14">
      <t>ヒャク</t>
    </rPh>
    <rPh sb="14" eb="16">
      <t>マンエン</t>
    </rPh>
    <phoneticPr fontId="4"/>
  </si>
  <si>
    <t>実数（百万円）</t>
    <rPh sb="0" eb="2">
      <t>ジッスウ</t>
    </rPh>
    <rPh sb="3" eb="4">
      <t>ヒャク</t>
    </rPh>
    <rPh sb="4" eb="6">
      <t>マンエン</t>
    </rPh>
    <phoneticPr fontId="4"/>
  </si>
  <si>
    <t>対前年度増加率（％）</t>
    <rPh sb="0" eb="1">
      <t>タイ</t>
    </rPh>
    <rPh sb="1" eb="4">
      <t>ゼンネンド</t>
    </rPh>
    <rPh sb="4" eb="6">
      <t>ゾウカ</t>
    </rPh>
    <rPh sb="6" eb="7">
      <t>リツ</t>
    </rPh>
    <phoneticPr fontId="4"/>
  </si>
  <si>
    <t>構成比（％）</t>
    <rPh sb="0" eb="3">
      <t>コウセイヒ</t>
    </rPh>
    <phoneticPr fontId="4"/>
  </si>
  <si>
    <t>増加寄与度（％）</t>
    <rPh sb="0" eb="2">
      <t>ゾウカ</t>
    </rPh>
    <rPh sb="2" eb="5">
      <t>キヨド</t>
    </rPh>
    <phoneticPr fontId="4"/>
  </si>
  <si>
    <t xml:space="preserve"> ←分析対象の年度を選択</t>
    <rPh sb="2" eb="4">
      <t>ブンセキ</t>
    </rPh>
    <rPh sb="4" eb="6">
      <t>タイショウ</t>
    </rPh>
    <rPh sb="7" eb="9">
      <t>ネンド</t>
    </rPh>
    <rPh sb="10" eb="12">
      <t>センタク</t>
    </rPh>
    <phoneticPr fontId="3"/>
  </si>
  <si>
    <t xml:space="preserve"> ←市町村・地域を選択</t>
    <rPh sb="2" eb="5">
      <t>シチョウソン</t>
    </rPh>
    <rPh sb="6" eb="8">
      <t>チイキ</t>
    </rPh>
    <rPh sb="9" eb="11">
      <t>センタク</t>
    </rPh>
    <phoneticPr fontId="3"/>
  </si>
  <si>
    <t xml:space="preserve"> ←「地域分析」シートで選択した市町村・地域名が自動で反映</t>
    <rPh sb="3" eb="5">
      <t>チイキ</t>
    </rPh>
    <rPh sb="5" eb="7">
      <t>ブンセキ</t>
    </rPh>
    <rPh sb="12" eb="14">
      <t>センタク</t>
    </rPh>
    <rPh sb="16" eb="19">
      <t>シチョウソン</t>
    </rPh>
    <rPh sb="20" eb="22">
      <t>チイキ</t>
    </rPh>
    <rPh sb="22" eb="23">
      <t>メイ</t>
    </rPh>
    <rPh sb="24" eb="26">
      <t>ジドウ</t>
    </rPh>
    <rPh sb="27" eb="29">
      <t>ハンエイ</t>
    </rPh>
    <phoneticPr fontId="3"/>
  </si>
  <si>
    <t>「地域分析」シートで選択した年度↑</t>
    <phoneticPr fontId="3"/>
  </si>
  <si>
    <t>就業者１人当たり総生産</t>
    <rPh sb="0" eb="3">
      <t>シュウギョウシャ</t>
    </rPh>
    <rPh sb="4" eb="6">
      <t>ヒトア</t>
    </rPh>
    <rPh sb="8" eb="11">
      <t>ソウセイサン</t>
    </rPh>
    <phoneticPr fontId="3"/>
  </si>
  <si>
    <t>実質値</t>
    <rPh sb="0" eb="3">
      <t>ジッシツチ</t>
    </rPh>
    <phoneticPr fontId="3"/>
  </si>
  <si>
    <t>（参考）就業者１人あたり市町村内総生産</t>
    <rPh sb="1" eb="3">
      <t>サンコウ</t>
    </rPh>
    <rPh sb="4" eb="7">
      <t>シュウギョウシャ</t>
    </rPh>
    <rPh sb="8" eb="9">
      <t>ヒト</t>
    </rPh>
    <rPh sb="12" eb="19">
      <t>シチョウソンナイソウセイサン</t>
    </rPh>
    <phoneticPr fontId="3"/>
  </si>
  <si>
    <t>（参考）市町村内総生産（実質：連鎖方式）【試算値】</t>
    <rPh sb="1" eb="3">
      <t>サンコウ</t>
    </rPh>
    <rPh sb="4" eb="11">
      <t>シチョウソンナイソウセイサン</t>
    </rPh>
    <rPh sb="12" eb="14">
      <t>ジッシツ</t>
    </rPh>
    <rPh sb="15" eb="19">
      <t>レンサホウシキ</t>
    </rPh>
    <rPh sb="21" eb="24">
      <t>シサンチ</t>
    </rPh>
    <phoneticPr fontId="3"/>
  </si>
  <si>
    <t>就業者一人あたり市町村内総生産</t>
    <rPh sb="0" eb="5">
      <t>シュウギョウシャヒトリ</t>
    </rPh>
    <rPh sb="8" eb="15">
      <t>シチョウソンナイソウセイサン</t>
    </rPh>
    <phoneticPr fontId="3"/>
  </si>
  <si>
    <t>市町村内総生産（実質値）</t>
    <rPh sb="0" eb="7">
      <t>シチョウソンナイソウセイサン</t>
    </rPh>
    <rPh sb="8" eb="11">
      <t>ジッシツチ</t>
    </rPh>
    <phoneticPr fontId="3"/>
  </si>
  <si>
    <t>ＡＡ</t>
    <phoneticPr fontId="3"/>
  </si>
  <si>
    <t>ＡＢ</t>
    <phoneticPr fontId="3"/>
  </si>
  <si>
    <t>就業者１人当たり市町村内総生産　グラフ用</t>
    <rPh sb="0" eb="3">
      <t>シュウギョウシャ</t>
    </rPh>
    <rPh sb="4" eb="6">
      <t>ヒトア</t>
    </rPh>
    <rPh sb="8" eb="12">
      <t>シチョウソンナイ</t>
    </rPh>
    <rPh sb="12" eb="15">
      <t>ソウセイサン</t>
    </rPh>
    <rPh sb="19" eb="20">
      <t>ヨウ</t>
    </rPh>
    <phoneticPr fontId="3"/>
  </si>
  <si>
    <t>水準（県平均＝100）</t>
    <rPh sb="0" eb="2">
      <t>スイジュン</t>
    </rPh>
    <rPh sb="3" eb="6">
      <t>ケンヘイキン</t>
    </rPh>
    <phoneticPr fontId="3"/>
  </si>
  <si>
    <t>（参考1）市町村内総生産（実質）【試算値】</t>
    <rPh sb="1" eb="3">
      <t>サンコウ</t>
    </rPh>
    <rPh sb="5" eb="12">
      <t>シチョウソンナイソウセイサン</t>
    </rPh>
    <rPh sb="13" eb="15">
      <t>ジッシツ</t>
    </rPh>
    <rPh sb="17" eb="20">
      <t>シサンチ</t>
    </rPh>
    <phoneticPr fontId="3"/>
  </si>
  <si>
    <t>（参考2）就業者１人当たり総生産</t>
    <rPh sb="1" eb="3">
      <t>サンコウ</t>
    </rPh>
    <rPh sb="5" eb="8">
      <t>シュウギョウシャ</t>
    </rPh>
    <rPh sb="9" eb="10">
      <t>ヒト</t>
    </rPh>
    <rPh sb="10" eb="11">
      <t>ア</t>
    </rPh>
    <rPh sb="13" eb="16">
      <t>ソウセイサン</t>
    </rPh>
    <phoneticPr fontId="3"/>
  </si>
  <si>
    <t>　県 平 均</t>
    <rPh sb="1" eb="2">
      <t>ケン</t>
    </rPh>
    <rPh sb="3" eb="4">
      <t>ヒラ</t>
    </rPh>
    <rPh sb="5" eb="6">
      <t>ヒトシ</t>
    </rPh>
    <phoneticPr fontId="3"/>
  </si>
  <si>
    <t>　水準（県＝100）</t>
    <rPh sb="1" eb="3">
      <t>スイジュン</t>
    </rPh>
    <rPh sb="4" eb="5">
      <t>ケン</t>
    </rPh>
    <phoneticPr fontId="3"/>
  </si>
  <si>
    <t>-</t>
    <phoneticPr fontId="3"/>
  </si>
  <si>
    <t>←この行からコピー（開始行）</t>
    <rPh sb="3" eb="4">
      <t>ギョウ</t>
    </rPh>
    <rPh sb="10" eb="13">
      <t>カイシギョウ</t>
    </rPh>
    <phoneticPr fontId="3"/>
  </si>
  <si>
    <t>←この行までコピー（終了行）</t>
    <rPh sb="3" eb="4">
      <t>ギョウ</t>
    </rPh>
    <rPh sb="10" eb="12">
      <t>シュウリョウ</t>
    </rPh>
    <rPh sb="12" eb="13">
      <t>コウ</t>
    </rPh>
    <phoneticPr fontId="3"/>
  </si>
  <si>
    <t>H</t>
    <phoneticPr fontId="3"/>
  </si>
  <si>
    <t>R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</si>
</sst>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&quot;△ &quot;#,##0"/>
    <numFmt numFmtId="177" formatCode="#,##0.0;&quot;△ &quot;#,##0.0"/>
    <numFmt numFmtId="178" formatCode="&quot;令和&quot;0&quot;年度&quot;"/>
    <numFmt numFmtId="179" formatCode="0.0_ "/>
    <numFmt numFmtId="180" formatCode="0.0"/>
    <numFmt numFmtId="181" formatCode="#,##0.000000;&quot;△ &quot;#,##0.000000"/>
    <numFmt numFmtId="182" formatCode="#,##0;&quot;▲ &quot;#,##0"/>
    <numFmt numFmtId="183" formatCode="#,##0.0;&quot;▲ &quot;#,##0.0"/>
    <numFmt numFmtId="184" formatCode="0.0;&quot;▲ &quot;0.0"/>
  </numFmts>
  <fonts count="20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b/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1"/>
      <color rgb="FF0000FF"/>
      <name val="ＭＳ ゴシック"/>
      <family val="3"/>
      <charset val="128"/>
    </font>
    <font>
      <sz val="1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b/>
      <u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9" fontId="14" fillId="0" borderId="0" applyFont="0" applyFill="0" applyBorder="0" applyAlignment="0" applyProtection="0">
      <alignment vertical="center"/>
    </xf>
  </cellStyleXfs>
  <cellXfs count="367">
    <xf numFmtId="0" fontId="0" fillId="0" borderId="0" xfId="0">
      <alignment vertical="center"/>
    </xf>
    <xf numFmtId="38" fontId="5" fillId="0" borderId="0" xfId="1" applyFont="1" applyAlignment="1">
      <alignment vertical="center"/>
    </xf>
    <xf numFmtId="38" fontId="5" fillId="0" borderId="0" xfId="1" applyFont="1" applyAlignment="1">
      <alignment horizontal="right" vertical="center"/>
    </xf>
    <xf numFmtId="176" fontId="6" fillId="0" borderId="0" xfId="1" applyNumberFormat="1" applyFont="1" applyAlignment="1">
      <alignment vertical="center"/>
    </xf>
    <xf numFmtId="38" fontId="2" fillId="0" borderId="0" xfId="1" applyFont="1" applyAlignment="1">
      <alignment vertical="center"/>
    </xf>
    <xf numFmtId="38" fontId="5" fillId="0" borderId="0" xfId="1" applyFont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2" borderId="2" xfId="1" applyFont="1" applyFill="1" applyBorder="1" applyAlignment="1">
      <alignment horizontal="center" vertical="center"/>
    </xf>
    <xf numFmtId="38" fontId="7" fillId="0" borderId="3" xfId="1" applyFont="1" applyBorder="1" applyAlignment="1">
      <alignment horizontal="center" vertical="center"/>
    </xf>
    <xf numFmtId="38" fontId="5" fillId="2" borderId="3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" vertical="center"/>
    </xf>
    <xf numFmtId="0" fontId="5" fillId="0" borderId="4" xfId="1" applyNumberFormat="1" applyFont="1" applyBorder="1" applyAlignment="1">
      <alignment horizontal="center" vertical="center"/>
    </xf>
    <xf numFmtId="0" fontId="5" fillId="0" borderId="5" xfId="1" applyNumberFormat="1" applyFont="1" applyBorder="1" applyAlignment="1">
      <alignment horizontal="center" vertical="center"/>
    </xf>
    <xf numFmtId="0" fontId="5" fillId="2" borderId="5" xfId="1" applyNumberFormat="1" applyFont="1" applyFill="1" applyBorder="1" applyAlignment="1">
      <alignment horizontal="center" vertical="center"/>
    </xf>
    <xf numFmtId="0" fontId="7" fillId="0" borderId="6" xfId="1" applyNumberFormat="1" applyFont="1" applyBorder="1" applyAlignment="1">
      <alignment horizontal="center" vertical="center"/>
    </xf>
    <xf numFmtId="38" fontId="5" fillId="0" borderId="8" xfId="1" applyFont="1" applyFill="1" applyBorder="1" applyAlignment="1" applyProtection="1">
      <alignment horizontal="center" vertical="center"/>
      <protection locked="0"/>
    </xf>
    <xf numFmtId="38" fontId="5" fillId="0" borderId="9" xfId="1" applyFont="1" applyFill="1" applyBorder="1" applyAlignment="1" applyProtection="1">
      <alignment horizontal="center" vertical="center"/>
      <protection locked="0"/>
    </xf>
    <xf numFmtId="38" fontId="5" fillId="0" borderId="8" xfId="1" applyFont="1" applyBorder="1" applyAlignment="1" applyProtection="1">
      <alignment horizontal="center" vertical="center"/>
      <protection locked="0"/>
    </xf>
    <xf numFmtId="38" fontId="5" fillId="0" borderId="9" xfId="1" applyFont="1" applyBorder="1" applyAlignment="1" applyProtection="1">
      <alignment horizontal="center" vertical="center"/>
      <protection locked="0"/>
    </xf>
    <xf numFmtId="38" fontId="5" fillId="0" borderId="4" xfId="1" applyFont="1" applyBorder="1" applyAlignment="1" applyProtection="1">
      <alignment horizontal="center" vertical="center"/>
      <protection locked="0"/>
    </xf>
    <xf numFmtId="38" fontId="5" fillId="0" borderId="5" xfId="1" applyFont="1" applyBorder="1" applyAlignment="1" applyProtection="1">
      <alignment horizontal="center" vertical="center"/>
      <protection locked="0"/>
    </xf>
    <xf numFmtId="38" fontId="5" fillId="0" borderId="12" xfId="1" applyFont="1" applyBorder="1" applyAlignment="1" applyProtection="1">
      <alignment horizontal="center" vertical="center"/>
      <protection locked="0"/>
    </xf>
    <xf numFmtId="38" fontId="5" fillId="0" borderId="9" xfId="1" applyFont="1" applyFill="1" applyBorder="1" applyAlignment="1" applyProtection="1">
      <alignment horizontal="left" vertical="center"/>
      <protection locked="0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>
      <alignment vertical="center"/>
    </xf>
    <xf numFmtId="38" fontId="7" fillId="0" borderId="2" xfId="1" applyFont="1" applyFill="1" applyBorder="1" applyAlignment="1">
      <alignment horizontal="center" vertical="center"/>
    </xf>
    <xf numFmtId="0" fontId="7" fillId="0" borderId="5" xfId="1" applyNumberFormat="1" applyFont="1" applyFill="1" applyBorder="1" applyAlignment="1">
      <alignment horizontal="center" vertical="center"/>
    </xf>
    <xf numFmtId="177" fontId="7" fillId="0" borderId="13" xfId="1" applyNumberFormat="1" applyFont="1" applyFill="1" applyBorder="1" applyAlignment="1" applyProtection="1">
      <alignment horizontal="right" vertical="center"/>
      <protection locked="0"/>
    </xf>
    <xf numFmtId="177" fontId="7" fillId="0" borderId="0" xfId="1" applyNumberFormat="1" applyFont="1" applyFill="1" applyBorder="1" applyAlignment="1" applyProtection="1">
      <alignment horizontal="right" vertical="center"/>
      <protection locked="0"/>
    </xf>
    <xf numFmtId="177" fontId="7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10" xfId="1" applyNumberFormat="1" applyFont="1" applyFill="1" applyBorder="1" applyAlignment="1" applyProtection="1">
      <alignment horizontal="right" vertical="center"/>
      <protection locked="0"/>
    </xf>
    <xf numFmtId="38" fontId="5" fillId="0" borderId="11" xfId="1" applyFont="1" applyBorder="1" applyAlignment="1" applyProtection="1">
      <alignment horizontal="center" vertical="center"/>
      <protection locked="0"/>
    </xf>
    <xf numFmtId="38" fontId="2" fillId="0" borderId="0" xfId="1" applyFont="1" applyFill="1" applyAlignment="1">
      <alignment vertical="center"/>
    </xf>
    <xf numFmtId="176" fontId="7" fillId="0" borderId="13" xfId="1" applyNumberFormat="1" applyFont="1" applyFill="1" applyBorder="1" applyAlignment="1" applyProtection="1">
      <alignment horizontal="right" vertical="center"/>
      <protection locked="0"/>
    </xf>
    <xf numFmtId="176" fontId="7" fillId="0" borderId="8" xfId="1" applyNumberFormat="1" applyFont="1" applyFill="1" applyBorder="1" applyAlignment="1" applyProtection="1">
      <alignment horizontal="right" vertical="center"/>
      <protection locked="0"/>
    </xf>
    <xf numFmtId="176" fontId="7" fillId="0" borderId="4" xfId="1" applyNumberFormat="1" applyFont="1" applyFill="1" applyBorder="1" applyAlignment="1" applyProtection="1">
      <alignment horizontal="right" vertical="center"/>
      <protection locked="0"/>
    </xf>
    <xf numFmtId="176" fontId="7" fillId="0" borderId="0" xfId="1" applyNumberFormat="1" applyFont="1" applyFill="1" applyBorder="1" applyAlignment="1" applyProtection="1">
      <alignment horizontal="right" vertical="center"/>
      <protection locked="0"/>
    </xf>
    <xf numFmtId="176" fontId="7" fillId="0" borderId="10" xfId="1" applyNumberFormat="1" applyFont="1" applyFill="1" applyBorder="1" applyAlignment="1" applyProtection="1">
      <alignment horizontal="right" vertical="center"/>
      <protection locked="0"/>
    </xf>
    <xf numFmtId="176" fontId="7" fillId="0" borderId="11" xfId="1" applyNumberFormat="1" applyFont="1" applyFill="1" applyBorder="1" applyAlignment="1" applyProtection="1">
      <alignment horizontal="right" vertical="center"/>
      <protection locked="0"/>
    </xf>
    <xf numFmtId="0" fontId="8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8" fillId="2" borderId="16" xfId="0" applyFont="1" applyFill="1" applyBorder="1">
      <alignment vertical="center"/>
    </xf>
    <xf numFmtId="0" fontId="8" fillId="2" borderId="17" xfId="0" applyFont="1" applyFill="1" applyBorder="1">
      <alignment vertical="center"/>
    </xf>
    <xf numFmtId="0" fontId="7" fillId="0" borderId="10" xfId="0" applyFont="1" applyBorder="1" applyAlignment="1">
      <alignment horizontal="center" vertical="center"/>
    </xf>
    <xf numFmtId="38" fontId="11" fillId="0" borderId="14" xfId="1" applyFont="1" applyFill="1" applyBorder="1" applyAlignment="1">
      <alignment horizontal="center" vertical="center" wrapText="1"/>
    </xf>
    <xf numFmtId="176" fontId="7" fillId="0" borderId="7" xfId="1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center" vertical="center"/>
    </xf>
    <xf numFmtId="38" fontId="10" fillId="0" borderId="0" xfId="1" applyFont="1" applyAlignment="1">
      <alignment horizontal="center" vertical="center"/>
    </xf>
    <xf numFmtId="177" fontId="7" fillId="0" borderId="11" xfId="1" applyNumberFormat="1" applyFont="1" applyFill="1" applyBorder="1" applyAlignment="1" applyProtection="1">
      <alignment horizontal="right" vertical="center"/>
      <protection locked="0"/>
    </xf>
    <xf numFmtId="177" fontId="7" fillId="0" borderId="1" xfId="1" applyNumberFormat="1" applyFont="1" applyFill="1" applyBorder="1" applyAlignment="1" applyProtection="1">
      <alignment horizontal="right" vertical="center"/>
      <protection locked="0"/>
    </xf>
    <xf numFmtId="177" fontId="7" fillId="0" borderId="8" xfId="1" applyNumberFormat="1" applyFont="1" applyFill="1" applyBorder="1" applyAlignment="1" applyProtection="1">
      <alignment horizontal="right" vertical="center"/>
      <protection locked="0"/>
    </xf>
    <xf numFmtId="177" fontId="7" fillId="0" borderId="4" xfId="1" applyNumberFormat="1" applyFont="1" applyFill="1" applyBorder="1" applyAlignment="1" applyProtection="1">
      <alignment horizontal="right" vertical="center"/>
      <protection locked="0"/>
    </xf>
    <xf numFmtId="0" fontId="7" fillId="2" borderId="14" xfId="0" applyFont="1" applyFill="1" applyBorder="1" applyAlignment="1">
      <alignment horizontal="center" vertical="center"/>
    </xf>
    <xf numFmtId="38" fontId="10" fillId="0" borderId="0" xfId="1" applyFont="1" applyAlignment="1">
      <alignment vertical="center"/>
    </xf>
    <xf numFmtId="38" fontId="7" fillId="0" borderId="0" xfId="1" applyFont="1" applyAlignment="1">
      <alignment horizontal="right" vertical="center"/>
    </xf>
    <xf numFmtId="176" fontId="7" fillId="0" borderId="0" xfId="0" applyNumberFormat="1" applyFont="1">
      <alignment vertical="center"/>
    </xf>
    <xf numFmtId="0" fontId="5" fillId="0" borderId="0" xfId="0" applyFont="1">
      <alignment vertical="center"/>
    </xf>
    <xf numFmtId="38" fontId="5" fillId="0" borderId="26" xfId="1" applyFont="1" applyBorder="1" applyAlignment="1" applyProtection="1">
      <alignment horizontal="center" vertical="center"/>
      <protection locked="0"/>
    </xf>
    <xf numFmtId="177" fontId="7" fillId="0" borderId="3" xfId="0" applyNumberFormat="1" applyFont="1" applyBorder="1">
      <alignment vertical="center"/>
    </xf>
    <xf numFmtId="0" fontId="8" fillId="0" borderId="3" xfId="0" applyFont="1" applyBorder="1" applyAlignment="1">
      <alignment vertical="center" shrinkToFit="1"/>
    </xf>
    <xf numFmtId="177" fontId="7" fillId="0" borderId="18" xfId="0" applyNumberFormat="1" applyFont="1" applyBorder="1">
      <alignment vertical="center"/>
    </xf>
    <xf numFmtId="0" fontId="8" fillId="0" borderId="18" xfId="0" applyFont="1" applyBorder="1" applyAlignment="1">
      <alignment vertical="center" shrinkToFit="1"/>
    </xf>
    <xf numFmtId="177" fontId="7" fillId="0" borderId="6" xfId="0" applyNumberFormat="1" applyFont="1" applyBorder="1">
      <alignment vertical="center"/>
    </xf>
    <xf numFmtId="0" fontId="8" fillId="0" borderId="6" xfId="0" applyFont="1" applyBorder="1" applyAlignment="1">
      <alignment vertical="center" shrinkToFit="1"/>
    </xf>
    <xf numFmtId="177" fontId="7" fillId="0" borderId="14" xfId="0" applyNumberFormat="1" applyFont="1" applyBorder="1">
      <alignment vertical="center"/>
    </xf>
    <xf numFmtId="0" fontId="8" fillId="0" borderId="14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8" fillId="4" borderId="18" xfId="0" applyFont="1" applyFill="1" applyBorder="1" applyAlignment="1">
      <alignment horizontal="center" vertical="center" shrinkToFit="1"/>
    </xf>
    <xf numFmtId="0" fontId="8" fillId="4" borderId="37" xfId="0" applyFont="1" applyFill="1" applyBorder="1" applyAlignment="1">
      <alignment horizontal="center" vertical="center" shrinkToFit="1"/>
    </xf>
    <xf numFmtId="0" fontId="8" fillId="0" borderId="18" xfId="0" applyFont="1" applyBorder="1" applyAlignment="1">
      <alignment vertical="center" wrapText="1" shrinkToFit="1"/>
    </xf>
    <xf numFmtId="0" fontId="8" fillId="0" borderId="3" xfId="0" applyFont="1" applyBorder="1" applyAlignment="1">
      <alignment vertical="center" wrapText="1" shrinkToFit="1"/>
    </xf>
    <xf numFmtId="0" fontId="8" fillId="0" borderId="6" xfId="0" applyFont="1" applyBorder="1" applyAlignment="1">
      <alignment vertical="center" wrapText="1" shrinkToFit="1"/>
    </xf>
    <xf numFmtId="38" fontId="5" fillId="0" borderId="1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38" fontId="11" fillId="0" borderId="2" xfId="1" applyFont="1" applyFill="1" applyBorder="1" applyAlignment="1">
      <alignment horizontal="center" vertical="center" wrapText="1"/>
    </xf>
    <xf numFmtId="38" fontId="11" fillId="0" borderId="7" xfId="1" applyFont="1" applyFill="1" applyBorder="1" applyAlignment="1">
      <alignment horizontal="center" vertical="center" wrapText="1"/>
    </xf>
    <xf numFmtId="38" fontId="11" fillId="0" borderId="20" xfId="1" applyFont="1" applyFill="1" applyBorder="1" applyAlignment="1">
      <alignment horizontal="center" vertical="center" wrapText="1"/>
    </xf>
    <xf numFmtId="38" fontId="7" fillId="0" borderId="0" xfId="1" applyFont="1" applyAlignment="1">
      <alignment horizontal="center" vertical="center"/>
    </xf>
    <xf numFmtId="176" fontId="7" fillId="0" borderId="0" xfId="1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7" fillId="0" borderId="29" xfId="0" applyFont="1" applyBorder="1" applyAlignment="1">
      <alignment horizontal="left" vertical="center"/>
    </xf>
    <xf numFmtId="0" fontId="8" fillId="0" borderId="30" xfId="0" applyFont="1" applyBorder="1">
      <alignment vertical="center"/>
    </xf>
    <xf numFmtId="0" fontId="7" fillId="0" borderId="0" xfId="0" applyFont="1" applyAlignment="1">
      <alignment horizontal="left" vertical="center"/>
    </xf>
    <xf numFmtId="38" fontId="5" fillId="0" borderId="0" xfId="1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/>
    </xf>
    <xf numFmtId="176" fontId="5" fillId="2" borderId="3" xfId="1" applyNumberFormat="1" applyFont="1" applyFill="1" applyBorder="1" applyAlignment="1" applyProtection="1">
      <alignment horizontal="center" vertical="center"/>
      <protection locked="0"/>
    </xf>
    <xf numFmtId="176" fontId="7" fillId="0" borderId="18" xfId="1" applyNumberFormat="1" applyFont="1" applyFill="1" applyBorder="1" applyAlignment="1" applyProtection="1">
      <alignment horizontal="center" vertical="center"/>
      <protection locked="0"/>
    </xf>
    <xf numFmtId="176" fontId="5" fillId="2" borderId="18" xfId="1" applyNumberFormat="1" applyFont="1" applyFill="1" applyBorder="1" applyAlignment="1" applyProtection="1">
      <alignment horizontal="center" vertical="center"/>
      <protection locked="0"/>
    </xf>
    <xf numFmtId="176" fontId="7" fillId="0" borderId="6" xfId="1" applyNumberFormat="1" applyFont="1" applyFill="1" applyBorder="1" applyAlignment="1" applyProtection="1">
      <alignment horizontal="center" vertical="center"/>
      <protection locked="0"/>
    </xf>
    <xf numFmtId="176" fontId="5" fillId="2" borderId="6" xfId="1" applyNumberFormat="1" applyFont="1" applyFill="1" applyBorder="1" applyAlignment="1" applyProtection="1">
      <alignment horizontal="center" vertical="center"/>
      <protection locked="0"/>
    </xf>
    <xf numFmtId="176" fontId="7" fillId="0" borderId="25" xfId="1" applyNumberFormat="1" applyFont="1" applyFill="1" applyBorder="1" applyAlignment="1" applyProtection="1">
      <alignment horizontal="center" vertical="center"/>
      <protection locked="0"/>
    </xf>
    <xf numFmtId="176" fontId="5" fillId="2" borderId="25" xfId="1" applyNumberFormat="1" applyFont="1" applyFill="1" applyBorder="1" applyAlignment="1" applyProtection="1">
      <alignment horizontal="center" vertical="center"/>
      <protection locked="0"/>
    </xf>
    <xf numFmtId="38" fontId="5" fillId="0" borderId="0" xfId="1" applyFont="1" applyFill="1" applyAlignment="1">
      <alignment horizontal="center" vertical="center"/>
    </xf>
    <xf numFmtId="38" fontId="5" fillId="0" borderId="0" xfId="1" applyFont="1" applyFill="1" applyAlignment="1">
      <alignment horizontal="right" vertical="center"/>
    </xf>
    <xf numFmtId="38" fontId="5" fillId="0" borderId="12" xfId="1" applyFont="1" applyBorder="1" applyAlignment="1" applyProtection="1">
      <alignment horizontal="left" vertical="center"/>
      <protection locked="0"/>
    </xf>
    <xf numFmtId="38" fontId="5" fillId="0" borderId="9" xfId="1" applyFont="1" applyBorder="1" applyAlignment="1" applyProtection="1">
      <alignment horizontal="left" vertical="center"/>
      <protection locked="0"/>
    </xf>
    <xf numFmtId="38" fontId="5" fillId="0" borderId="5" xfId="1" applyFont="1" applyBorder="1" applyAlignment="1" applyProtection="1">
      <alignment horizontal="left" vertical="center"/>
      <protection locked="0"/>
    </xf>
    <xf numFmtId="38" fontId="5" fillId="0" borderId="27" xfId="1" applyFont="1" applyBorder="1" applyAlignment="1" applyProtection="1">
      <alignment horizontal="left" vertical="center"/>
      <protection locked="0"/>
    </xf>
    <xf numFmtId="176" fontId="7" fillId="0" borderId="26" xfId="1" applyNumberFormat="1" applyFont="1" applyFill="1" applyBorder="1" applyAlignment="1" applyProtection="1">
      <alignment horizontal="right" vertical="center"/>
      <protection locked="0"/>
    </xf>
    <xf numFmtId="176" fontId="7" fillId="0" borderId="28" xfId="1" applyNumberFormat="1" applyFont="1" applyFill="1" applyBorder="1" applyAlignment="1" applyProtection="1">
      <alignment horizontal="right" vertical="center"/>
      <protection locked="0"/>
    </xf>
    <xf numFmtId="0" fontId="18" fillId="0" borderId="0" xfId="0" applyFont="1">
      <alignment vertical="center"/>
    </xf>
    <xf numFmtId="38" fontId="5" fillId="0" borderId="5" xfId="1" applyFont="1" applyFill="1" applyBorder="1" applyAlignment="1" applyProtection="1">
      <alignment horizontal="center" vertical="center"/>
      <protection locked="0"/>
    </xf>
    <xf numFmtId="38" fontId="7" fillId="0" borderId="0" xfId="1" applyFont="1" applyFill="1" applyAlignment="1">
      <alignment horizontal="right" vertical="center"/>
    </xf>
    <xf numFmtId="0" fontId="8" fillId="2" borderId="18" xfId="0" applyFont="1" applyFill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8" fontId="5" fillId="0" borderId="1" xfId="1" quotePrefix="1" applyFont="1" applyBorder="1" applyAlignment="1">
      <alignment horizontal="center" vertical="center"/>
    </xf>
    <xf numFmtId="38" fontId="5" fillId="0" borderId="8" xfId="1" quotePrefix="1" applyFont="1" applyBorder="1" applyAlignment="1">
      <alignment horizontal="center" vertical="center"/>
    </xf>
    <xf numFmtId="38" fontId="5" fillId="0" borderId="4" xfId="1" quotePrefix="1" applyFont="1" applyBorder="1" applyAlignment="1">
      <alignment horizontal="center" vertical="center"/>
    </xf>
    <xf numFmtId="38" fontId="5" fillId="0" borderId="8" xfId="1" quotePrefix="1" applyFont="1" applyFill="1" applyBorder="1" applyAlignment="1" applyProtection="1">
      <alignment horizontal="center" vertical="center"/>
      <protection locked="0"/>
    </xf>
    <xf numFmtId="38" fontId="5" fillId="0" borderId="1" xfId="1" quotePrefix="1" applyFont="1" applyBorder="1" applyAlignment="1" applyProtection="1">
      <alignment horizontal="center" vertical="center"/>
      <protection locked="0"/>
    </xf>
    <xf numFmtId="38" fontId="5" fillId="0" borderId="2" xfId="1" applyFont="1" applyBorder="1" applyAlignment="1" applyProtection="1">
      <alignment horizontal="left" vertical="center"/>
      <protection locked="0"/>
    </xf>
    <xf numFmtId="176" fontId="7" fillId="0" borderId="1" xfId="1" applyNumberFormat="1" applyFont="1" applyFill="1" applyBorder="1" applyAlignment="1" applyProtection="1">
      <alignment horizontal="right" vertical="center"/>
      <protection locked="0"/>
    </xf>
    <xf numFmtId="38" fontId="5" fillId="0" borderId="8" xfId="1" quotePrefix="1" applyFont="1" applyBorder="1" applyAlignment="1" applyProtection="1">
      <alignment horizontal="center" vertical="center"/>
      <protection locked="0"/>
    </xf>
    <xf numFmtId="38" fontId="5" fillId="0" borderId="4" xfId="1" quotePrefix="1" applyFont="1" applyBorder="1" applyAlignment="1" applyProtection="1">
      <alignment horizontal="center" vertical="center"/>
      <protection locked="0"/>
    </xf>
    <xf numFmtId="176" fontId="5" fillId="2" borderId="3" xfId="1" applyNumberFormat="1" applyFont="1" applyFill="1" applyBorder="1" applyAlignment="1" applyProtection="1">
      <alignment horizontal="left" vertical="center" shrinkToFit="1"/>
      <protection locked="0"/>
    </xf>
    <xf numFmtId="176" fontId="5" fillId="2" borderId="18" xfId="1" applyNumberFormat="1" applyFont="1" applyFill="1" applyBorder="1" applyAlignment="1" applyProtection="1">
      <alignment horizontal="left" vertical="center" shrinkToFit="1"/>
      <protection locked="0"/>
    </xf>
    <xf numFmtId="176" fontId="5" fillId="2" borderId="25" xfId="1" applyNumberFormat="1" applyFont="1" applyFill="1" applyBorder="1" applyAlignment="1" applyProtection="1">
      <alignment horizontal="left" vertical="center" shrinkToFit="1"/>
      <protection locked="0"/>
    </xf>
    <xf numFmtId="0" fontId="8" fillId="2" borderId="18" xfId="0" applyFont="1" applyFill="1" applyBorder="1" applyAlignment="1">
      <alignment horizontal="left" vertical="center" shrinkToFit="1"/>
    </xf>
    <xf numFmtId="0" fontId="8" fillId="2" borderId="6" xfId="0" applyFont="1" applyFill="1" applyBorder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38" fontId="7" fillId="0" borderId="3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6" xfId="0" applyFont="1" applyBorder="1">
      <alignment vertical="center"/>
    </xf>
    <xf numFmtId="176" fontId="7" fillId="4" borderId="2" xfId="0" applyNumberFormat="1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8" fillId="4" borderId="29" xfId="0" applyFont="1" applyFill="1" applyBorder="1">
      <alignment vertical="center"/>
    </xf>
    <xf numFmtId="0" fontId="8" fillId="4" borderId="14" xfId="0" applyFont="1" applyFill="1" applyBorder="1" applyAlignment="1">
      <alignment horizontal="center" vertical="center"/>
    </xf>
    <xf numFmtId="0" fontId="7" fillId="4" borderId="11" xfId="0" applyFont="1" applyFill="1" applyBorder="1">
      <alignment vertical="center"/>
    </xf>
    <xf numFmtId="0" fontId="7" fillId="4" borderId="13" xfId="0" applyFont="1" applyFill="1" applyBorder="1">
      <alignment vertical="center"/>
    </xf>
    <xf numFmtId="38" fontId="5" fillId="4" borderId="12" xfId="1" applyFont="1" applyFill="1" applyBorder="1" applyAlignment="1" applyProtection="1">
      <alignment horizontal="center" vertical="center"/>
      <protection locked="0"/>
    </xf>
    <xf numFmtId="176" fontId="7" fillId="4" borderId="13" xfId="1" applyNumberFormat="1" applyFont="1" applyFill="1" applyBorder="1" applyAlignment="1" applyProtection="1">
      <alignment horizontal="center" vertical="center"/>
      <protection locked="0"/>
    </xf>
    <xf numFmtId="38" fontId="5" fillId="4" borderId="9" xfId="1" applyFont="1" applyFill="1" applyBorder="1" applyAlignment="1" applyProtection="1">
      <alignment horizontal="center" vertical="center"/>
      <protection locked="0"/>
    </xf>
    <xf numFmtId="176" fontId="7" fillId="4" borderId="1" xfId="1" applyNumberFormat="1" applyFont="1" applyFill="1" applyBorder="1" applyAlignment="1" applyProtection="1">
      <alignment horizontal="center" vertical="center"/>
      <protection locked="0"/>
    </xf>
    <xf numFmtId="176" fontId="7" fillId="4" borderId="7" xfId="1" applyNumberFormat="1" applyFont="1" applyFill="1" applyBorder="1" applyAlignment="1" applyProtection="1">
      <alignment horizontal="center" vertical="center"/>
      <protection locked="0"/>
    </xf>
    <xf numFmtId="176" fontId="7" fillId="4" borderId="8" xfId="1" applyNumberFormat="1" applyFont="1" applyFill="1" applyBorder="1" applyAlignment="1" applyProtection="1">
      <alignment horizontal="center" vertical="center"/>
      <protection locked="0"/>
    </xf>
    <xf numFmtId="176" fontId="7" fillId="4" borderId="0" xfId="1" applyNumberFormat="1" applyFont="1" applyFill="1" applyBorder="1" applyAlignment="1" applyProtection="1">
      <alignment horizontal="center" vertical="center"/>
      <protection locked="0"/>
    </xf>
    <xf numFmtId="38" fontId="5" fillId="4" borderId="5" xfId="1" applyFont="1" applyFill="1" applyBorder="1" applyAlignment="1" applyProtection="1">
      <alignment horizontal="center" vertical="center"/>
      <protection locked="0"/>
    </xf>
    <xf numFmtId="176" fontId="7" fillId="4" borderId="4" xfId="1" applyNumberFormat="1" applyFont="1" applyFill="1" applyBorder="1" applyAlignment="1" applyProtection="1">
      <alignment horizontal="center" vertical="center"/>
      <protection locked="0"/>
    </xf>
    <xf numFmtId="176" fontId="7" fillId="4" borderId="10" xfId="1" applyNumberFormat="1" applyFont="1" applyFill="1" applyBorder="1" applyAlignment="1" applyProtection="1">
      <alignment horizontal="center" vertical="center"/>
      <protection locked="0"/>
    </xf>
    <xf numFmtId="38" fontId="5" fillId="4" borderId="2" xfId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38" fontId="5" fillId="2" borderId="3" xfId="1" applyFont="1" applyFill="1" applyBorder="1" applyAlignment="1" applyProtection="1">
      <alignment horizontal="center" vertical="center"/>
      <protection locked="0"/>
    </xf>
    <xf numFmtId="38" fontId="5" fillId="2" borderId="18" xfId="1" applyFont="1" applyFill="1" applyBorder="1" applyAlignment="1" applyProtection="1">
      <alignment horizontal="center" vertical="center"/>
      <protection locked="0"/>
    </xf>
    <xf numFmtId="38" fontId="5" fillId="2" borderId="18" xfId="1" quotePrefix="1" applyFont="1" applyFill="1" applyBorder="1" applyAlignment="1">
      <alignment horizontal="center" vertical="center"/>
    </xf>
    <xf numFmtId="38" fontId="5" fillId="2" borderId="6" xfId="1" quotePrefix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38" fontId="5" fillId="0" borderId="4" xfId="1" applyFont="1" applyFill="1" applyBorder="1" applyAlignment="1" applyProtection="1">
      <alignment horizontal="center" vertical="center"/>
      <protection locked="0"/>
    </xf>
    <xf numFmtId="38" fontId="5" fillId="0" borderId="9" xfId="1" applyFont="1" applyFill="1" applyBorder="1" applyAlignment="1">
      <alignment horizontal="center" vertical="center"/>
    </xf>
    <xf numFmtId="0" fontId="5" fillId="0" borderId="9" xfId="1" applyNumberFormat="1" applyFont="1" applyFill="1" applyBorder="1" applyAlignment="1">
      <alignment horizontal="center" vertical="center"/>
    </xf>
    <xf numFmtId="38" fontId="5" fillId="0" borderId="9" xfId="1" quotePrefix="1" applyFont="1" applyFill="1" applyBorder="1" applyAlignment="1">
      <alignment horizontal="center" vertical="center"/>
    </xf>
    <xf numFmtId="38" fontId="10" fillId="2" borderId="14" xfId="1" applyFont="1" applyFill="1" applyBorder="1" applyAlignment="1">
      <alignment horizontal="left" vertical="center"/>
    </xf>
    <xf numFmtId="177" fontId="7" fillId="3" borderId="1" xfId="1" applyNumberFormat="1" applyFont="1" applyFill="1" applyBorder="1" applyAlignment="1" applyProtection="1">
      <alignment horizontal="right" vertical="center"/>
      <protection locked="0"/>
    </xf>
    <xf numFmtId="177" fontId="7" fillId="3" borderId="8" xfId="1" applyNumberFormat="1" applyFont="1" applyFill="1" applyBorder="1" applyAlignment="1" applyProtection="1">
      <alignment horizontal="right" vertical="center"/>
      <protection locked="0"/>
    </xf>
    <xf numFmtId="177" fontId="7" fillId="3" borderId="11" xfId="1" applyNumberFormat="1" applyFont="1" applyFill="1" applyBorder="1" applyAlignment="1" applyProtection="1">
      <alignment horizontal="right" vertical="center"/>
      <protection locked="0"/>
    </xf>
    <xf numFmtId="177" fontId="7" fillId="3" borderId="26" xfId="1" applyNumberFormat="1" applyFont="1" applyFill="1" applyBorder="1" applyAlignment="1" applyProtection="1">
      <alignment horizontal="right" vertical="center"/>
      <protection locked="0"/>
    </xf>
    <xf numFmtId="177" fontId="7" fillId="0" borderId="28" xfId="1" applyNumberFormat="1" applyFont="1" applyFill="1" applyBorder="1" applyAlignment="1" applyProtection="1">
      <alignment horizontal="right" vertical="center"/>
      <protection locked="0"/>
    </xf>
    <xf numFmtId="177" fontId="7" fillId="3" borderId="4" xfId="1" applyNumberFormat="1" applyFont="1" applyFill="1" applyBorder="1" applyAlignment="1" applyProtection="1">
      <alignment horizontal="right" vertical="center"/>
      <protection locked="0"/>
    </xf>
    <xf numFmtId="177" fontId="7" fillId="0" borderId="26" xfId="1" applyNumberFormat="1" applyFont="1" applyFill="1" applyBorder="1" applyAlignment="1" applyProtection="1">
      <alignment horizontal="right" vertical="center"/>
      <protection locked="0"/>
    </xf>
    <xf numFmtId="177" fontId="7" fillId="0" borderId="24" xfId="1" applyNumberFormat="1" applyFont="1" applyFill="1" applyBorder="1" applyAlignment="1" applyProtection="1">
      <alignment horizontal="right" vertical="center"/>
      <protection locked="0"/>
    </xf>
    <xf numFmtId="177" fontId="7" fillId="3" borderId="23" xfId="1" applyNumberFormat="1" applyFont="1" applyFill="1" applyBorder="1" applyAlignment="1" applyProtection="1">
      <alignment horizontal="right" vertical="center"/>
      <protection locked="0"/>
    </xf>
    <xf numFmtId="38" fontId="7" fillId="0" borderId="0" xfId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shrinkToFit="1"/>
    </xf>
    <xf numFmtId="0" fontId="8" fillId="2" borderId="18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5" borderId="43" xfId="0" applyFont="1" applyFill="1" applyBorder="1" applyAlignment="1">
      <alignment horizontal="center" vertical="center"/>
    </xf>
    <xf numFmtId="0" fontId="7" fillId="0" borderId="44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8" fillId="5" borderId="46" xfId="0" applyFont="1" applyFill="1" applyBorder="1" applyAlignment="1">
      <alignment horizontal="center" vertical="center"/>
    </xf>
    <xf numFmtId="0" fontId="8" fillId="5" borderId="47" xfId="0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 shrinkToFit="1"/>
    </xf>
    <xf numFmtId="0" fontId="8" fillId="4" borderId="34" xfId="0" applyFont="1" applyFill="1" applyBorder="1" applyAlignment="1">
      <alignment horizontal="center" vertical="center" shrinkToFit="1"/>
    </xf>
    <xf numFmtId="0" fontId="8" fillId="4" borderId="32" xfId="0" applyFont="1" applyFill="1" applyBorder="1" applyAlignment="1">
      <alignment horizontal="center" vertical="center" shrinkToFit="1"/>
    </xf>
    <xf numFmtId="0" fontId="8" fillId="4" borderId="6" xfId="0" applyFont="1" applyFill="1" applyBorder="1" applyAlignment="1">
      <alignment horizontal="center" vertical="center" shrinkToFit="1"/>
    </xf>
    <xf numFmtId="0" fontId="8" fillId="4" borderId="35" xfId="0" applyFont="1" applyFill="1" applyBorder="1" applyAlignment="1">
      <alignment horizontal="center" vertical="center" shrinkToFit="1"/>
    </xf>
    <xf numFmtId="178" fontId="7" fillId="0" borderId="0" xfId="0" applyNumberFormat="1" applyFont="1">
      <alignment vertical="center"/>
    </xf>
    <xf numFmtId="38" fontId="19" fillId="2" borderId="14" xfId="1" applyFont="1" applyFill="1" applyBorder="1" applyAlignment="1">
      <alignment horizontal="left" vertical="center"/>
    </xf>
    <xf numFmtId="0" fontId="19" fillId="0" borderId="0" xfId="0" applyFont="1">
      <alignment vertical="center"/>
    </xf>
    <xf numFmtId="38" fontId="9" fillId="0" borderId="0" xfId="1" applyFont="1" applyFill="1" applyAlignment="1">
      <alignment horizontal="left" vertical="center"/>
    </xf>
    <xf numFmtId="0" fontId="8" fillId="3" borderId="29" xfId="0" applyFont="1" applyFill="1" applyBorder="1">
      <alignment vertical="center"/>
    </xf>
    <xf numFmtId="0" fontId="7" fillId="3" borderId="30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177" fontId="7" fillId="0" borderId="7" xfId="0" applyNumberFormat="1" applyFont="1" applyBorder="1">
      <alignment vertical="center"/>
    </xf>
    <xf numFmtId="0" fontId="8" fillId="0" borderId="11" xfId="0" applyFont="1" applyBorder="1">
      <alignment vertical="center"/>
    </xf>
    <xf numFmtId="38" fontId="7" fillId="0" borderId="12" xfId="2" applyFont="1" applyBorder="1">
      <alignment vertical="center"/>
    </xf>
    <xf numFmtId="38" fontId="7" fillId="0" borderId="11" xfId="0" applyNumberFormat="1" applyFont="1" applyBorder="1">
      <alignment vertical="center"/>
    </xf>
    <xf numFmtId="10" fontId="7" fillId="0" borderId="12" xfId="4" applyNumberFormat="1" applyFont="1" applyBorder="1">
      <alignment vertical="center"/>
    </xf>
    <xf numFmtId="0" fontId="7" fillId="0" borderId="0" xfId="0" applyFont="1">
      <alignment vertical="center"/>
    </xf>
    <xf numFmtId="180" fontId="7" fillId="0" borderId="0" xfId="0" applyNumberFormat="1" applyFont="1">
      <alignment vertical="center"/>
    </xf>
    <xf numFmtId="0" fontId="8" fillId="0" borderId="0" xfId="0" applyFont="1" applyAlignment="1">
      <alignment horizontal="right" vertical="center" indent="1"/>
    </xf>
    <xf numFmtId="0" fontId="7" fillId="0" borderId="4" xfId="0" applyFont="1" applyBorder="1">
      <alignment vertical="center"/>
    </xf>
    <xf numFmtId="180" fontId="7" fillId="0" borderId="3" xfId="0" applyNumberFormat="1" applyFont="1" applyBorder="1">
      <alignment vertical="center"/>
    </xf>
    <xf numFmtId="180" fontId="7" fillId="0" borderId="18" xfId="0" applyNumberFormat="1" applyFont="1" applyBorder="1">
      <alignment vertical="center"/>
    </xf>
    <xf numFmtId="180" fontId="7" fillId="0" borderId="6" xfId="0" applyNumberFormat="1" applyFont="1" applyBorder="1">
      <alignment vertical="center"/>
    </xf>
    <xf numFmtId="0" fontId="7" fillId="0" borderId="3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6" xfId="0" applyFont="1" applyBorder="1">
      <alignment vertical="center"/>
    </xf>
    <xf numFmtId="176" fontId="7" fillId="0" borderId="3" xfId="2" applyNumberFormat="1" applyFont="1" applyBorder="1">
      <alignment vertical="center"/>
    </xf>
    <xf numFmtId="176" fontId="7" fillId="0" borderId="18" xfId="2" applyNumberFormat="1" applyFont="1" applyBorder="1">
      <alignment vertical="center"/>
    </xf>
    <xf numFmtId="176" fontId="7" fillId="0" borderId="6" xfId="2" applyNumberFormat="1" applyFont="1" applyBorder="1">
      <alignment vertical="center"/>
    </xf>
    <xf numFmtId="177" fontId="7" fillId="0" borderId="25" xfId="0" applyNumberFormat="1" applyFont="1" applyBorder="1">
      <alignment vertical="center"/>
    </xf>
    <xf numFmtId="0" fontId="8" fillId="0" borderId="25" xfId="0" applyFont="1" applyBorder="1" applyAlignment="1">
      <alignment vertical="center" wrapText="1" shrinkToFit="1"/>
    </xf>
    <xf numFmtId="176" fontId="7" fillId="0" borderId="25" xfId="2" applyNumberFormat="1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181" fontId="7" fillId="0" borderId="3" xfId="0" applyNumberFormat="1" applyFont="1" applyBorder="1">
      <alignment vertical="center"/>
    </xf>
    <xf numFmtId="181" fontId="7" fillId="0" borderId="18" xfId="0" applyNumberFormat="1" applyFont="1" applyBorder="1">
      <alignment vertical="center"/>
    </xf>
    <xf numFmtId="181" fontId="7" fillId="0" borderId="6" xfId="0" applyNumberFormat="1" applyFont="1" applyBorder="1">
      <alignment vertical="center"/>
    </xf>
    <xf numFmtId="179" fontId="9" fillId="0" borderId="0" xfId="0" applyNumberFormat="1" applyFont="1" applyAlignment="1">
      <alignment horizontal="center" vertical="center"/>
    </xf>
    <xf numFmtId="0" fontId="7" fillId="0" borderId="11" xfId="0" applyFont="1" applyBorder="1">
      <alignment vertical="center"/>
    </xf>
    <xf numFmtId="38" fontId="5" fillId="0" borderId="0" xfId="1" quotePrefix="1" applyFont="1" applyBorder="1" applyAlignment="1" applyProtection="1">
      <alignment horizontal="center" vertical="center"/>
      <protection locked="0"/>
    </xf>
    <xf numFmtId="38" fontId="5" fillId="0" borderId="0" xfId="1" applyFont="1" applyBorder="1" applyAlignment="1" applyProtection="1">
      <alignment horizontal="left" vertical="center"/>
      <protection locked="0"/>
    </xf>
    <xf numFmtId="38" fontId="5" fillId="0" borderId="1" xfId="1" quotePrefix="1" applyFont="1" applyBorder="1" applyAlignment="1" applyProtection="1">
      <alignment horizontal="left" vertical="center"/>
      <protection locked="0"/>
    </xf>
    <xf numFmtId="38" fontId="5" fillId="0" borderId="8" xfId="1" quotePrefix="1" applyFont="1" applyBorder="1" applyAlignment="1" applyProtection="1">
      <alignment horizontal="left" vertical="center"/>
      <protection locked="0"/>
    </xf>
    <xf numFmtId="38" fontId="5" fillId="0" borderId="4" xfId="1" quotePrefix="1" applyFont="1" applyBorder="1" applyAlignment="1" applyProtection="1">
      <alignment horizontal="left" vertical="center"/>
      <protection locked="0"/>
    </xf>
    <xf numFmtId="38" fontId="5" fillId="4" borderId="26" xfId="1" quotePrefix="1" applyFont="1" applyFill="1" applyBorder="1" applyAlignment="1" applyProtection="1">
      <alignment horizontal="left" vertical="center"/>
      <protection locked="0"/>
    </xf>
    <xf numFmtId="38" fontId="5" fillId="4" borderId="27" xfId="1" applyFont="1" applyFill="1" applyBorder="1" applyAlignment="1" applyProtection="1">
      <alignment horizontal="right" vertical="center"/>
      <protection locked="0"/>
    </xf>
    <xf numFmtId="0" fontId="7" fillId="4" borderId="28" xfId="1" applyNumberFormat="1" applyFont="1" applyFill="1" applyBorder="1" applyAlignment="1">
      <alignment horizontal="center" vertical="center"/>
    </xf>
    <xf numFmtId="0" fontId="8" fillId="4" borderId="28" xfId="1" applyNumberFormat="1" applyFont="1" applyFill="1" applyBorder="1" applyAlignment="1">
      <alignment horizontal="center" vertical="center"/>
    </xf>
    <xf numFmtId="38" fontId="8" fillId="0" borderId="0" xfId="0" applyNumberFormat="1" applyFont="1">
      <alignment vertical="center"/>
    </xf>
    <xf numFmtId="0" fontId="7" fillId="0" borderId="15" xfId="0" applyFont="1" applyBorder="1" applyAlignment="1">
      <alignment horizontal="center" vertical="center"/>
    </xf>
    <xf numFmtId="38" fontId="7" fillId="0" borderId="13" xfId="2" applyFont="1" applyBorder="1">
      <alignment vertical="center"/>
    </xf>
    <xf numFmtId="0" fontId="9" fillId="0" borderId="11" xfId="0" applyFont="1" applyBorder="1">
      <alignment vertical="center"/>
    </xf>
    <xf numFmtId="38" fontId="2" fillId="0" borderId="0" xfId="1" quotePrefix="1" applyFont="1" applyBorder="1" applyAlignment="1" applyProtection="1">
      <alignment horizontal="left" vertical="center"/>
      <protection locked="0"/>
    </xf>
    <xf numFmtId="38" fontId="7" fillId="0" borderId="0" xfId="1" applyFont="1" applyFill="1" applyAlignment="1">
      <alignment horizontal="left" vertical="center"/>
    </xf>
    <xf numFmtId="176" fontId="9" fillId="2" borderId="11" xfId="1" applyNumberFormat="1" applyFont="1" applyFill="1" applyBorder="1" applyAlignment="1" applyProtection="1">
      <alignment horizontal="right" vertical="center"/>
      <protection locked="0"/>
    </xf>
    <xf numFmtId="176" fontId="9" fillId="2" borderId="13" xfId="1" applyNumberFormat="1" applyFont="1" applyFill="1" applyBorder="1" applyAlignment="1" applyProtection="1">
      <alignment horizontal="right" vertical="center"/>
      <protection locked="0"/>
    </xf>
    <xf numFmtId="176" fontId="9" fillId="2" borderId="12" xfId="1" applyNumberFormat="1" applyFont="1" applyFill="1" applyBorder="1" applyAlignment="1" applyProtection="1">
      <alignment horizontal="right" vertical="center"/>
      <protection locked="0"/>
    </xf>
    <xf numFmtId="176" fontId="9" fillId="2" borderId="19" xfId="1" applyNumberFormat="1" applyFont="1" applyFill="1" applyBorder="1" applyAlignment="1" applyProtection="1">
      <alignment horizontal="right" vertical="center"/>
      <protection locked="0"/>
    </xf>
    <xf numFmtId="176" fontId="9" fillId="2" borderId="1" xfId="1" applyNumberFormat="1" applyFont="1" applyFill="1" applyBorder="1" applyAlignment="1" applyProtection="1">
      <alignment horizontal="right" vertical="center"/>
      <protection locked="0"/>
    </xf>
    <xf numFmtId="176" fontId="9" fillId="2" borderId="7" xfId="1" applyNumberFormat="1" applyFont="1" applyFill="1" applyBorder="1" applyAlignment="1" applyProtection="1">
      <alignment horizontal="right" vertical="center"/>
      <protection locked="0"/>
    </xf>
    <xf numFmtId="176" fontId="9" fillId="2" borderId="2" xfId="1" applyNumberFormat="1" applyFont="1" applyFill="1" applyBorder="1" applyAlignment="1" applyProtection="1">
      <alignment horizontal="right" vertical="center"/>
      <protection locked="0"/>
    </xf>
    <xf numFmtId="176" fontId="9" fillId="2" borderId="20" xfId="1" applyNumberFormat="1" applyFont="1" applyFill="1" applyBorder="1" applyAlignment="1" applyProtection="1">
      <alignment horizontal="right" vertical="center"/>
      <protection locked="0"/>
    </xf>
    <xf numFmtId="176" fontId="9" fillId="2" borderId="8" xfId="1" applyNumberFormat="1" applyFont="1" applyFill="1" applyBorder="1" applyAlignment="1" applyProtection="1">
      <alignment horizontal="right" vertical="center"/>
      <protection locked="0"/>
    </xf>
    <xf numFmtId="176" fontId="9" fillId="2" borderId="0" xfId="1" applyNumberFormat="1" applyFont="1" applyFill="1" applyBorder="1" applyAlignment="1" applyProtection="1">
      <alignment horizontal="right" vertical="center"/>
      <protection locked="0"/>
    </xf>
    <xf numFmtId="176" fontId="9" fillId="2" borderId="9" xfId="1" applyNumberFormat="1" applyFont="1" applyFill="1" applyBorder="1" applyAlignment="1" applyProtection="1">
      <alignment horizontal="right" vertical="center"/>
      <protection locked="0"/>
    </xf>
    <xf numFmtId="176" fontId="9" fillId="2" borderId="21" xfId="1" applyNumberFormat="1" applyFont="1" applyFill="1" applyBorder="1" applyAlignment="1" applyProtection="1">
      <alignment horizontal="right" vertical="center"/>
      <protection locked="0"/>
    </xf>
    <xf numFmtId="176" fontId="9" fillId="2" borderId="4" xfId="1" applyNumberFormat="1" applyFont="1" applyFill="1" applyBorder="1" applyAlignment="1" applyProtection="1">
      <alignment horizontal="right" vertical="center"/>
      <protection locked="0"/>
    </xf>
    <xf numFmtId="176" fontId="9" fillId="2" borderId="10" xfId="1" applyNumberFormat="1" applyFont="1" applyFill="1" applyBorder="1" applyAlignment="1" applyProtection="1">
      <alignment horizontal="right" vertical="center"/>
      <protection locked="0"/>
    </xf>
    <xf numFmtId="176" fontId="9" fillId="2" borderId="5" xfId="1" applyNumberFormat="1" applyFont="1" applyFill="1" applyBorder="1" applyAlignment="1" applyProtection="1">
      <alignment horizontal="right" vertical="center"/>
      <protection locked="0"/>
    </xf>
    <xf numFmtId="176" fontId="9" fillId="2" borderId="22" xfId="1" applyNumberFormat="1" applyFont="1" applyFill="1" applyBorder="1" applyAlignment="1" applyProtection="1">
      <alignment horizontal="right" vertical="center"/>
      <protection locked="0"/>
    </xf>
    <xf numFmtId="38" fontId="11" fillId="0" borderId="49" xfId="1" applyFont="1" applyFill="1" applyBorder="1" applyAlignment="1">
      <alignment horizontal="center" vertical="center" wrapText="1"/>
    </xf>
    <xf numFmtId="176" fontId="9" fillId="2" borderId="48" xfId="1" applyNumberFormat="1" applyFont="1" applyFill="1" applyBorder="1" applyAlignment="1" applyProtection="1">
      <alignment horizontal="right" vertical="center"/>
      <protection locked="0"/>
    </xf>
    <xf numFmtId="176" fontId="9" fillId="2" borderId="49" xfId="1" applyNumberFormat="1" applyFont="1" applyFill="1" applyBorder="1" applyAlignment="1" applyProtection="1">
      <alignment horizontal="right" vertical="center"/>
      <protection locked="0"/>
    </xf>
    <xf numFmtId="176" fontId="9" fillId="2" borderId="50" xfId="1" applyNumberFormat="1" applyFont="1" applyFill="1" applyBorder="1" applyAlignment="1" applyProtection="1">
      <alignment horizontal="right" vertical="center"/>
      <protection locked="0"/>
    </xf>
    <xf numFmtId="176" fontId="9" fillId="2" borderId="51" xfId="1" applyNumberFormat="1" applyFont="1" applyFill="1" applyBorder="1" applyAlignment="1" applyProtection="1">
      <alignment horizontal="right" vertical="center"/>
      <protection locked="0"/>
    </xf>
    <xf numFmtId="38" fontId="11" fillId="0" borderId="52" xfId="1" applyFont="1" applyFill="1" applyBorder="1" applyAlignment="1">
      <alignment horizontal="center" vertical="center" wrapText="1"/>
    </xf>
    <xf numFmtId="176" fontId="9" fillId="2" borderId="53" xfId="1" applyNumberFormat="1" applyFont="1" applyFill="1" applyBorder="1" applyAlignment="1" applyProtection="1">
      <alignment horizontal="right" vertical="center"/>
      <protection locked="0"/>
    </xf>
    <xf numFmtId="176" fontId="9" fillId="2" borderId="52" xfId="1" applyNumberFormat="1" applyFont="1" applyFill="1" applyBorder="1" applyAlignment="1" applyProtection="1">
      <alignment horizontal="right" vertical="center"/>
      <protection locked="0"/>
    </xf>
    <xf numFmtId="176" fontId="9" fillId="2" borderId="54" xfId="1" applyNumberFormat="1" applyFont="1" applyFill="1" applyBorder="1" applyAlignment="1" applyProtection="1">
      <alignment horizontal="right" vertical="center"/>
      <protection locked="0"/>
    </xf>
    <xf numFmtId="176" fontId="9" fillId="2" borderId="55" xfId="1" applyNumberFormat="1" applyFont="1" applyFill="1" applyBorder="1" applyAlignment="1" applyProtection="1">
      <alignment horizontal="right" vertical="center"/>
      <protection locked="0"/>
    </xf>
    <xf numFmtId="38" fontId="11" fillId="0" borderId="3" xfId="1" applyFont="1" applyFill="1" applyBorder="1" applyAlignment="1">
      <alignment horizontal="center" vertical="center" wrapText="1"/>
    </xf>
    <xf numFmtId="176" fontId="9" fillId="2" borderId="14" xfId="1" applyNumberFormat="1" applyFont="1" applyFill="1" applyBorder="1" applyAlignment="1" applyProtection="1">
      <alignment horizontal="right" vertical="center"/>
      <protection locked="0"/>
    </xf>
    <xf numFmtId="176" fontId="9" fillId="2" borderId="3" xfId="1" applyNumberFormat="1" applyFont="1" applyFill="1" applyBorder="1" applyAlignment="1" applyProtection="1">
      <alignment horizontal="right" vertical="center"/>
      <protection locked="0"/>
    </xf>
    <xf numFmtId="176" fontId="9" fillId="2" borderId="18" xfId="1" applyNumberFormat="1" applyFont="1" applyFill="1" applyBorder="1" applyAlignment="1" applyProtection="1">
      <alignment horizontal="right" vertical="center"/>
      <protection locked="0"/>
    </xf>
    <xf numFmtId="176" fontId="9" fillId="2" borderId="6" xfId="1" applyNumberFormat="1" applyFont="1" applyFill="1" applyBorder="1" applyAlignment="1" applyProtection="1">
      <alignment horizontal="right" vertical="center"/>
      <protection locked="0"/>
    </xf>
    <xf numFmtId="0" fontId="8" fillId="2" borderId="3" xfId="0" applyFont="1" applyFill="1" applyBorder="1" applyAlignment="1">
      <alignment horizontal="left" vertical="center" shrinkToFit="1"/>
    </xf>
    <xf numFmtId="176" fontId="7" fillId="0" borderId="3" xfId="1" applyNumberFormat="1" applyFont="1" applyFill="1" applyBorder="1" applyAlignment="1" applyProtection="1">
      <alignment horizontal="center" vertical="center"/>
      <protection locked="0"/>
    </xf>
    <xf numFmtId="38" fontId="5" fillId="0" borderId="7" xfId="1" applyFont="1" applyBorder="1" applyAlignment="1" applyProtection="1">
      <alignment horizontal="left" vertical="center"/>
      <protection locked="0"/>
    </xf>
    <xf numFmtId="38" fontId="5" fillId="0" borderId="10" xfId="1" applyFont="1" applyBorder="1" applyAlignment="1" applyProtection="1">
      <alignment horizontal="left" vertical="center"/>
      <protection locked="0"/>
    </xf>
    <xf numFmtId="176" fontId="7" fillId="3" borderId="7" xfId="1" applyNumberFormat="1" applyFont="1" applyFill="1" applyBorder="1" applyAlignment="1" applyProtection="1">
      <alignment horizontal="right" vertical="center"/>
      <protection locked="0"/>
    </xf>
    <xf numFmtId="176" fontId="7" fillId="3" borderId="10" xfId="1" applyNumberFormat="1" applyFont="1" applyFill="1" applyBorder="1" applyAlignment="1" applyProtection="1">
      <alignment horizontal="right" vertical="center"/>
      <protection locked="0"/>
    </xf>
    <xf numFmtId="38" fontId="8" fillId="0" borderId="18" xfId="0" applyNumberFormat="1" applyFont="1" applyBorder="1">
      <alignment vertical="center"/>
    </xf>
    <xf numFmtId="0" fontId="8" fillId="0" borderId="14" xfId="0" applyFont="1" applyBorder="1">
      <alignment vertical="center"/>
    </xf>
    <xf numFmtId="38" fontId="7" fillId="0" borderId="18" xfId="0" applyNumberFormat="1" applyFont="1" applyBorder="1">
      <alignment vertical="center"/>
    </xf>
    <xf numFmtId="184" fontId="7" fillId="0" borderId="36" xfId="0" applyNumberFormat="1" applyFont="1" applyBorder="1" applyAlignment="1">
      <alignment vertical="center" shrinkToFit="1"/>
    </xf>
    <xf numFmtId="184" fontId="7" fillId="0" borderId="18" xfId="0" applyNumberFormat="1" applyFont="1" applyBorder="1" applyAlignment="1">
      <alignment vertical="center" shrinkToFit="1"/>
    </xf>
    <xf numFmtId="184" fontId="7" fillId="0" borderId="37" xfId="0" applyNumberFormat="1" applyFont="1" applyBorder="1" applyAlignment="1">
      <alignment vertical="center" shrinkToFit="1"/>
    </xf>
    <xf numFmtId="184" fontId="7" fillId="0" borderId="38" xfId="0" applyNumberFormat="1" applyFont="1" applyBorder="1" applyAlignment="1">
      <alignment vertical="center" shrinkToFit="1"/>
    </xf>
    <xf numFmtId="184" fontId="7" fillId="0" borderId="39" xfId="0" applyNumberFormat="1" applyFont="1" applyBorder="1" applyAlignment="1">
      <alignment vertical="center" shrinkToFit="1"/>
    </xf>
    <xf numFmtId="184" fontId="7" fillId="0" borderId="40" xfId="0" applyNumberFormat="1" applyFont="1" applyBorder="1" applyAlignment="1">
      <alignment vertical="center" shrinkToFit="1"/>
    </xf>
    <xf numFmtId="180" fontId="7" fillId="0" borderId="10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0" fontId="8" fillId="0" borderId="0" xfId="0" applyFont="1" applyAlignment="1">
      <alignment vertical="center" wrapText="1" shrinkToFit="1"/>
    </xf>
    <xf numFmtId="181" fontId="7" fillId="0" borderId="0" xfId="0" applyNumberFormat="1" applyFont="1">
      <alignment vertical="center"/>
    </xf>
    <xf numFmtId="0" fontId="8" fillId="4" borderId="56" xfId="0" applyFont="1" applyFill="1" applyBorder="1" applyAlignment="1">
      <alignment horizontal="center" vertical="center" shrinkToFit="1"/>
    </xf>
    <xf numFmtId="184" fontId="7" fillId="0" borderId="0" xfId="0" applyNumberFormat="1" applyFont="1" applyAlignment="1">
      <alignment vertical="center" shrinkToFit="1"/>
    </xf>
    <xf numFmtId="0" fontId="7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8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180" fontId="5" fillId="0" borderId="0" xfId="0" applyNumberFormat="1" applyFont="1">
      <alignment vertical="center"/>
    </xf>
    <xf numFmtId="38" fontId="2" fillId="0" borderId="0" xfId="1" applyFont="1" applyFill="1" applyAlignment="1" applyProtection="1">
      <alignment vertical="center"/>
    </xf>
    <xf numFmtId="38" fontId="9" fillId="0" borderId="0" xfId="1" applyFont="1" applyFill="1" applyAlignment="1" applyProtection="1">
      <alignment horizontal="left" vertical="center"/>
    </xf>
    <xf numFmtId="38" fontId="9" fillId="0" borderId="0" xfId="1" applyFont="1" applyFill="1" applyAlignment="1" applyProtection="1">
      <alignment horizontal="center" vertical="center"/>
    </xf>
    <xf numFmtId="38" fontId="2" fillId="0" borderId="0" xfId="1" applyFont="1" applyAlignment="1" applyProtection="1">
      <alignment vertical="center"/>
    </xf>
    <xf numFmtId="38" fontId="5" fillId="0" borderId="0" xfId="1" applyFont="1" applyAlignment="1" applyProtection="1">
      <alignment horizontal="center" vertical="center"/>
    </xf>
    <xf numFmtId="38" fontId="5" fillId="0" borderId="0" xfId="1" applyFont="1" applyAlignment="1" applyProtection="1">
      <alignment horizontal="right" vertical="center"/>
    </xf>
    <xf numFmtId="38" fontId="5" fillId="0" borderId="0" xfId="1" applyFont="1" applyAlignment="1" applyProtection="1">
      <alignment vertical="center"/>
    </xf>
    <xf numFmtId="38" fontId="5" fillId="0" borderId="1" xfId="1" applyFont="1" applyBorder="1" applyAlignment="1" applyProtection="1">
      <alignment horizontal="center" vertical="center"/>
    </xf>
    <xf numFmtId="38" fontId="5" fillId="0" borderId="2" xfId="1" applyFont="1" applyBorder="1" applyAlignment="1" applyProtection="1">
      <alignment horizontal="center" vertical="center"/>
    </xf>
    <xf numFmtId="0" fontId="5" fillId="0" borderId="4" xfId="1" applyNumberFormat="1" applyFont="1" applyBorder="1" applyAlignment="1" applyProtection="1">
      <alignment horizontal="center" vertical="center"/>
    </xf>
    <xf numFmtId="0" fontId="5" fillId="0" borderId="5" xfId="1" applyNumberFormat="1" applyFont="1" applyBorder="1" applyAlignment="1" applyProtection="1">
      <alignment horizontal="center" vertical="center"/>
    </xf>
    <xf numFmtId="0" fontId="5" fillId="0" borderId="6" xfId="1" applyNumberFormat="1" applyFont="1" applyFill="1" applyBorder="1" applyAlignment="1" applyProtection="1">
      <alignment horizontal="center" vertical="center" shrinkToFit="1"/>
    </xf>
    <xf numFmtId="0" fontId="5" fillId="0" borderId="10" xfId="1" applyNumberFormat="1" applyFont="1" applyFill="1" applyBorder="1" applyAlignment="1" applyProtection="1">
      <alignment horizontal="center" vertical="center" shrinkToFit="1"/>
    </xf>
    <xf numFmtId="0" fontId="5" fillId="0" borderId="14" xfId="1" applyNumberFormat="1" applyFont="1" applyFill="1" applyBorder="1" applyAlignment="1" applyProtection="1">
      <alignment horizontal="center" vertical="center" shrinkToFit="1"/>
    </xf>
    <xf numFmtId="38" fontId="5" fillId="6" borderId="11" xfId="1" applyFont="1" applyFill="1" applyBorder="1" applyAlignment="1" applyProtection="1">
      <alignment horizontal="center" vertical="center"/>
    </xf>
    <xf numFmtId="38" fontId="5" fillId="6" borderId="12" xfId="1" applyFont="1" applyFill="1" applyBorder="1" applyAlignment="1" applyProtection="1">
      <alignment vertical="center"/>
    </xf>
    <xf numFmtId="182" fontId="5" fillId="6" borderId="14" xfId="1" applyNumberFormat="1" applyFont="1" applyFill="1" applyBorder="1" applyAlignment="1" applyProtection="1">
      <alignment horizontal="right" vertical="center"/>
    </xf>
    <xf numFmtId="183" fontId="5" fillId="6" borderId="14" xfId="2" applyNumberFormat="1" applyFont="1" applyFill="1" applyBorder="1" applyAlignment="1" applyProtection="1">
      <alignment horizontal="right" vertical="center"/>
    </xf>
    <xf numFmtId="183" fontId="5" fillId="6" borderId="14" xfId="1" applyNumberFormat="1" applyFont="1" applyFill="1" applyBorder="1" applyAlignment="1" applyProtection="1">
      <alignment horizontal="right" vertical="center"/>
    </xf>
    <xf numFmtId="176" fontId="8" fillId="0" borderId="0" xfId="0" applyNumberFormat="1" applyFont="1">
      <alignment vertical="center"/>
    </xf>
    <xf numFmtId="38" fontId="5" fillId="0" borderId="8" xfId="1" applyFont="1" applyFill="1" applyBorder="1" applyAlignment="1" applyProtection="1">
      <alignment horizontal="center" vertical="center"/>
    </xf>
    <xf numFmtId="38" fontId="5" fillId="0" borderId="9" xfId="1" applyFont="1" applyFill="1" applyBorder="1" applyAlignment="1" applyProtection="1">
      <alignment vertical="center"/>
    </xf>
    <xf numFmtId="182" fontId="5" fillId="0" borderId="3" xfId="1" applyNumberFormat="1" applyFont="1" applyFill="1" applyBorder="1" applyAlignment="1" applyProtection="1">
      <alignment horizontal="right" vertical="center"/>
    </xf>
    <xf numFmtId="183" fontId="5" fillId="0" borderId="3" xfId="1" applyNumberFormat="1" applyFont="1" applyFill="1" applyBorder="1" applyAlignment="1" applyProtection="1">
      <alignment horizontal="right" vertical="center"/>
    </xf>
    <xf numFmtId="38" fontId="5" fillId="0" borderId="8" xfId="1" applyFont="1" applyBorder="1" applyAlignment="1" applyProtection="1">
      <alignment horizontal="center" vertical="center"/>
    </xf>
    <xf numFmtId="38" fontId="5" fillId="0" borderId="9" xfId="1" applyFont="1" applyBorder="1" applyAlignment="1" applyProtection="1">
      <alignment vertical="center"/>
    </xf>
    <xf numFmtId="182" fontId="5" fillId="0" borderId="18" xfId="1" applyNumberFormat="1" applyFont="1" applyFill="1" applyBorder="1" applyAlignment="1" applyProtection="1">
      <alignment horizontal="right" vertical="center"/>
    </xf>
    <xf numFmtId="183" fontId="5" fillId="0" borderId="18" xfId="1" applyNumberFormat="1" applyFont="1" applyFill="1" applyBorder="1" applyAlignment="1" applyProtection="1">
      <alignment horizontal="right" vertical="center"/>
    </xf>
    <xf numFmtId="182" fontId="5" fillId="0" borderId="6" xfId="1" applyNumberFormat="1" applyFont="1" applyFill="1" applyBorder="1" applyAlignment="1" applyProtection="1">
      <alignment horizontal="right" vertical="center"/>
    </xf>
    <xf numFmtId="183" fontId="5" fillId="0" borderId="6" xfId="1" applyNumberFormat="1" applyFont="1" applyFill="1" applyBorder="1" applyAlignment="1" applyProtection="1">
      <alignment horizontal="right" vertical="center"/>
    </xf>
    <xf numFmtId="182" fontId="5" fillId="6" borderId="6" xfId="1" applyNumberFormat="1" applyFont="1" applyFill="1" applyBorder="1" applyAlignment="1" applyProtection="1">
      <alignment horizontal="right" vertical="center"/>
    </xf>
    <xf numFmtId="183" fontId="5" fillId="6" borderId="6" xfId="1" applyNumberFormat="1" applyFont="1" applyFill="1" applyBorder="1" applyAlignment="1" applyProtection="1">
      <alignment horizontal="right" vertical="center"/>
    </xf>
    <xf numFmtId="38" fontId="5" fillId="0" borderId="4" xfId="1" applyFont="1" applyBorder="1" applyAlignment="1" applyProtection="1">
      <alignment horizontal="center" vertical="center"/>
    </xf>
    <xf numFmtId="38" fontId="5" fillId="0" borderId="5" xfId="1" applyFont="1" applyBorder="1" applyAlignment="1" applyProtection="1">
      <alignment vertical="center"/>
    </xf>
    <xf numFmtId="38" fontId="5" fillId="6" borderId="8" xfId="1" applyFont="1" applyFill="1" applyBorder="1" applyAlignment="1" applyProtection="1">
      <alignment horizontal="center" vertical="center"/>
    </xf>
    <xf numFmtId="38" fontId="5" fillId="6" borderId="9" xfId="1" applyFont="1" applyFill="1" applyBorder="1" applyAlignment="1" applyProtection="1">
      <alignment vertical="center"/>
    </xf>
    <xf numFmtId="38" fontId="5" fillId="0" borderId="26" xfId="1" applyFont="1" applyFill="1" applyBorder="1" applyAlignment="1" applyProtection="1">
      <alignment horizontal="center" vertical="center"/>
    </xf>
    <xf numFmtId="38" fontId="5" fillId="0" borderId="27" xfId="1" applyFont="1" applyFill="1" applyBorder="1" applyAlignment="1" applyProtection="1">
      <alignment vertical="center"/>
    </xf>
    <xf numFmtId="182" fontId="5" fillId="0" borderId="25" xfId="1" applyNumberFormat="1" applyFont="1" applyFill="1" applyBorder="1" applyAlignment="1" applyProtection="1">
      <alignment horizontal="right" vertical="center"/>
    </xf>
    <xf numFmtId="183" fontId="5" fillId="0" borderId="25" xfId="1" applyNumberFormat="1" applyFont="1" applyFill="1" applyBorder="1" applyAlignment="1" applyProtection="1">
      <alignment horizontal="right" vertical="center"/>
    </xf>
    <xf numFmtId="38" fontId="5" fillId="6" borderId="23" xfId="1" applyFont="1" applyFill="1" applyBorder="1" applyAlignment="1" applyProtection="1">
      <alignment horizontal="center" vertical="center"/>
    </xf>
    <xf numFmtId="38" fontId="5" fillId="6" borderId="58" xfId="1" applyFont="1" applyFill="1" applyBorder="1" applyAlignment="1" applyProtection="1">
      <alignment vertical="center"/>
    </xf>
    <xf numFmtId="182" fontId="5" fillId="6" borderId="57" xfId="1" applyNumberFormat="1" applyFont="1" applyFill="1" applyBorder="1" applyAlignment="1" applyProtection="1">
      <alignment horizontal="right" vertical="center"/>
    </xf>
    <xf numFmtId="183" fontId="5" fillId="6" borderId="57" xfId="1" applyNumberFormat="1" applyFont="1" applyFill="1" applyBorder="1" applyAlignment="1" applyProtection="1">
      <alignment horizontal="right" vertical="center"/>
    </xf>
    <xf numFmtId="38" fontId="5" fillId="0" borderId="1" xfId="1" applyFont="1" applyFill="1" applyBorder="1" applyAlignment="1" applyProtection="1">
      <alignment horizontal="center" vertical="center"/>
    </xf>
    <xf numFmtId="38" fontId="5" fillId="0" borderId="2" xfId="1" applyFont="1" applyFill="1" applyBorder="1" applyAlignment="1" applyProtection="1">
      <alignment vertical="center"/>
    </xf>
    <xf numFmtId="183" fontId="5" fillId="0" borderId="0" xfId="1" applyNumberFormat="1" applyFont="1" applyFill="1" applyBorder="1" applyAlignment="1" applyProtection="1">
      <alignment horizontal="right" vertical="center"/>
    </xf>
    <xf numFmtId="38" fontId="5" fillId="0" borderId="4" xfId="1" applyFont="1" applyFill="1" applyBorder="1" applyAlignment="1" applyProtection="1">
      <alignment horizontal="center" vertical="center"/>
    </xf>
    <xf numFmtId="38" fontId="5" fillId="0" borderId="5" xfId="1" applyFont="1" applyFill="1" applyBorder="1" applyAlignment="1" applyProtection="1">
      <alignment vertical="center"/>
    </xf>
    <xf numFmtId="38" fontId="5" fillId="0" borderId="0" xfId="1" applyFont="1" applyFill="1" applyBorder="1" applyAlignment="1" applyProtection="1">
      <alignment horizontal="center" vertical="center"/>
    </xf>
    <xf numFmtId="38" fontId="5" fillId="0" borderId="0" xfId="1" applyFont="1" applyFill="1" applyBorder="1" applyAlignment="1" applyProtection="1">
      <alignment vertical="center"/>
    </xf>
    <xf numFmtId="38" fontId="5" fillId="0" borderId="0" xfId="1" applyFont="1" applyBorder="1" applyAlignment="1" applyProtection="1">
      <alignment horizontal="center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vertical="center"/>
    </xf>
    <xf numFmtId="38" fontId="7" fillId="0" borderId="0" xfId="1" applyFont="1" applyFill="1" applyBorder="1" applyAlignment="1" applyProtection="1">
      <alignment vertical="center"/>
    </xf>
    <xf numFmtId="38" fontId="19" fillId="4" borderId="15" xfId="1" applyFont="1" applyFill="1" applyBorder="1" applyAlignment="1" applyProtection="1">
      <alignment vertical="center"/>
      <protection locked="0"/>
    </xf>
    <xf numFmtId="38" fontId="19" fillId="4" borderId="15" xfId="1" applyFont="1" applyFill="1" applyBorder="1" applyAlignment="1" applyProtection="1">
      <alignment horizontal="center" vertical="center"/>
      <protection locked="0"/>
    </xf>
    <xf numFmtId="38" fontId="5" fillId="0" borderId="11" xfId="1" applyFont="1" applyFill="1" applyBorder="1" applyAlignment="1" applyProtection="1">
      <alignment horizontal="center" vertical="center"/>
    </xf>
    <xf numFmtId="38" fontId="5" fillId="0" borderId="13" xfId="1" applyFont="1" applyFill="1" applyBorder="1" applyAlignment="1" applyProtection="1">
      <alignment horizontal="center" vertical="center"/>
    </xf>
    <xf numFmtId="38" fontId="5" fillId="0" borderId="12" xfId="1" applyFont="1" applyFill="1" applyBorder="1" applyAlignment="1" applyProtection="1">
      <alignment horizontal="center" vertical="center"/>
    </xf>
    <xf numFmtId="0" fontId="8" fillId="4" borderId="32" xfId="0" applyFont="1" applyFill="1" applyBorder="1" applyAlignment="1">
      <alignment horizontal="center" vertical="center" shrinkToFit="1"/>
    </xf>
    <xf numFmtId="0" fontId="8" fillId="4" borderId="6" xfId="0" applyFont="1" applyFill="1" applyBorder="1" applyAlignment="1">
      <alignment horizontal="center" vertical="center" shrinkToFit="1"/>
    </xf>
    <xf numFmtId="0" fontId="8" fillId="4" borderId="33" xfId="0" applyFont="1" applyFill="1" applyBorder="1" applyAlignment="1">
      <alignment horizontal="center" vertical="center" shrinkToFit="1"/>
    </xf>
    <xf numFmtId="0" fontId="8" fillId="4" borderId="35" xfId="0" applyFont="1" applyFill="1" applyBorder="1" applyAlignment="1">
      <alignment horizontal="center" vertical="center" shrinkToFit="1"/>
    </xf>
    <xf numFmtId="0" fontId="8" fillId="4" borderId="31" xfId="0" applyFont="1" applyFill="1" applyBorder="1" applyAlignment="1">
      <alignment horizontal="center" vertical="center" shrinkToFit="1"/>
    </xf>
    <xf numFmtId="0" fontId="8" fillId="4" borderId="34" xfId="0" applyFont="1" applyFill="1" applyBorder="1" applyAlignment="1">
      <alignment horizontal="center" vertical="center" shrinkToFit="1"/>
    </xf>
  </cellXfs>
  <cellStyles count="5">
    <cellStyle name="パーセント" xfId="4" builtinId="5"/>
    <cellStyle name="桁区切り" xfId="2" builtinId="6"/>
    <cellStyle name="桁区切り 4" xfId="1" xr:uid="{00000000-0005-0000-0000-000002000000}"/>
    <cellStyle name="標準" xfId="0" builtinId="0"/>
    <cellStyle name="標準 2" xfId="3" xr:uid="{00000000-0005-0000-0000-000004000000}"/>
  </cellStyles>
  <dxfs count="4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0041FF"/>
      <color rgb="FFBFE4FF"/>
      <color rgb="FFFFCABF"/>
      <color rgb="FF0000FF"/>
      <color rgb="FFFF4B00"/>
      <color rgb="FF03AF7A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r>
              <a:rPr lang="ja-JP" altLang="en-US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市町村内総生産・対前年度増加率（名目）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1218741274361975E-2"/>
          <c:y val="0.12609132691614144"/>
          <c:w val="0.86134266260815351"/>
          <c:h val="0.72072603427845228"/>
        </c:manualLayout>
      </c:layout>
      <c:barChart>
        <c:barDir val="col"/>
        <c:grouping val="stacked"/>
        <c:varyColors val="0"/>
        <c:ser>
          <c:idx val="21"/>
          <c:order val="0"/>
          <c:tx>
            <c:strRef>
              <c:f>地域分析BD!$B$27</c:f>
              <c:strCache>
                <c:ptCount val="1"/>
                <c:pt idx="0">
                  <c:v>第１次産業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地域分析BD!$C$238:$O$238</c:f>
              <c:strCache>
                <c:ptCount val="13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  <c:pt idx="12">
                  <c:v>R5</c:v>
                </c:pt>
              </c:strCache>
            </c:strRef>
          </c:cat>
          <c:val>
            <c:numRef>
              <c:f>地域分析BD!$C$27:$O$27</c:f>
              <c:numCache>
                <c:formatCode>#,##0;"△ "#,##0</c:formatCode>
                <c:ptCount val="13"/>
                <c:pt idx="0">
                  <c:v>1786</c:v>
                </c:pt>
                <c:pt idx="1">
                  <c:v>2041</c:v>
                </c:pt>
                <c:pt idx="2">
                  <c:v>2038</c:v>
                </c:pt>
                <c:pt idx="3">
                  <c:v>2026</c:v>
                </c:pt>
                <c:pt idx="4">
                  <c:v>2600</c:v>
                </c:pt>
                <c:pt idx="5">
                  <c:v>2618</c:v>
                </c:pt>
                <c:pt idx="6">
                  <c:v>2840</c:v>
                </c:pt>
                <c:pt idx="7">
                  <c:v>2789</c:v>
                </c:pt>
                <c:pt idx="8">
                  <c:v>2600</c:v>
                </c:pt>
                <c:pt idx="9">
                  <c:v>1972</c:v>
                </c:pt>
                <c:pt idx="10">
                  <c:v>2195</c:v>
                </c:pt>
                <c:pt idx="11">
                  <c:v>1939</c:v>
                </c:pt>
                <c:pt idx="12">
                  <c:v>2351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6B-417E-AC75-D2384D173084}"/>
            </c:ext>
          </c:extLst>
        </c:ser>
        <c:ser>
          <c:idx val="22"/>
          <c:order val="1"/>
          <c:tx>
            <c:strRef>
              <c:f>地域分析BD!$B$28</c:f>
              <c:strCache>
                <c:ptCount val="1"/>
                <c:pt idx="0">
                  <c:v>第２次産業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地域分析BD!$C$238:$O$238</c:f>
              <c:strCache>
                <c:ptCount val="13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  <c:pt idx="12">
                  <c:v>R5</c:v>
                </c:pt>
              </c:strCache>
            </c:strRef>
          </c:cat>
          <c:val>
            <c:numRef>
              <c:f>地域分析BD!$C$28:$O$28</c:f>
              <c:numCache>
                <c:formatCode>#,##0;"△ "#,##0</c:formatCode>
                <c:ptCount val="13"/>
                <c:pt idx="0">
                  <c:v>60424</c:v>
                </c:pt>
                <c:pt idx="1">
                  <c:v>63321</c:v>
                </c:pt>
                <c:pt idx="2">
                  <c:v>67287</c:v>
                </c:pt>
                <c:pt idx="3">
                  <c:v>93500</c:v>
                </c:pt>
                <c:pt idx="4">
                  <c:v>101762</c:v>
                </c:pt>
                <c:pt idx="5">
                  <c:v>112248</c:v>
                </c:pt>
                <c:pt idx="6">
                  <c:v>112095</c:v>
                </c:pt>
                <c:pt idx="7">
                  <c:v>106052</c:v>
                </c:pt>
                <c:pt idx="8">
                  <c:v>98817</c:v>
                </c:pt>
                <c:pt idx="9">
                  <c:v>84917</c:v>
                </c:pt>
                <c:pt idx="10">
                  <c:v>110350</c:v>
                </c:pt>
                <c:pt idx="11">
                  <c:v>78006</c:v>
                </c:pt>
                <c:pt idx="12">
                  <c:v>78711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6B-417E-AC75-D2384D173084}"/>
            </c:ext>
          </c:extLst>
        </c:ser>
        <c:ser>
          <c:idx val="23"/>
          <c:order val="2"/>
          <c:tx>
            <c:strRef>
              <c:f>地域分析BD!$B$29</c:f>
              <c:strCache>
                <c:ptCount val="1"/>
                <c:pt idx="0">
                  <c:v>第３次産業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地域分析BD!$C$238:$O$238</c:f>
              <c:strCache>
                <c:ptCount val="13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  <c:pt idx="12">
                  <c:v>R5</c:v>
                </c:pt>
              </c:strCache>
            </c:strRef>
          </c:cat>
          <c:val>
            <c:numRef>
              <c:f>地域分析BD!$C$29:$O$29</c:f>
              <c:numCache>
                <c:formatCode>#,##0;"△ "#,##0</c:formatCode>
                <c:ptCount val="13"/>
                <c:pt idx="0">
                  <c:v>1172714</c:v>
                </c:pt>
                <c:pt idx="1">
                  <c:v>1159940</c:v>
                </c:pt>
                <c:pt idx="2">
                  <c:v>1181893</c:v>
                </c:pt>
                <c:pt idx="3">
                  <c:v>1190855</c:v>
                </c:pt>
                <c:pt idx="4">
                  <c:v>1231311</c:v>
                </c:pt>
                <c:pt idx="5">
                  <c:v>1277059</c:v>
                </c:pt>
                <c:pt idx="6">
                  <c:v>1289259</c:v>
                </c:pt>
                <c:pt idx="7">
                  <c:v>1297619</c:v>
                </c:pt>
                <c:pt idx="8">
                  <c:v>1296247</c:v>
                </c:pt>
                <c:pt idx="9">
                  <c:v>1177732</c:v>
                </c:pt>
                <c:pt idx="10">
                  <c:v>1227674</c:v>
                </c:pt>
                <c:pt idx="11">
                  <c:v>1305521</c:v>
                </c:pt>
                <c:pt idx="12">
                  <c:v>1376707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6B-417E-AC75-D2384D173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534007296"/>
        <c:axId val="534006968"/>
      </c:barChart>
      <c:lineChart>
        <c:grouping val="standard"/>
        <c:varyColors val="0"/>
        <c:ser>
          <c:idx val="0"/>
          <c:order val="3"/>
          <c:tx>
            <c:strRef>
              <c:f>地域分析BD!$A$35</c:f>
              <c:strCache>
                <c:ptCount val="1"/>
                <c:pt idx="0">
                  <c:v>対前年度増加率（％）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地域分析BD!$C$4:$O$4</c:f>
              <c:numCache>
                <c:formatCode>#,##0_);[Red]\(#,##0\)</c:formatCode>
                <c:ptCount val="13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numCache>
            </c:numRef>
          </c:cat>
          <c:val>
            <c:numRef>
              <c:f>地域分析BD!$C$58:$O$58</c:f>
              <c:numCache>
                <c:formatCode>#,##0.0;"△ "#,##0.0</c:formatCode>
                <c:ptCount val="13"/>
                <c:pt idx="1">
                  <c:v>-0.78500000000000003</c:v>
                </c:pt>
                <c:pt idx="2">
                  <c:v>2.0659999999999998</c:v>
                </c:pt>
                <c:pt idx="3">
                  <c:v>2.677</c:v>
                </c:pt>
                <c:pt idx="4">
                  <c:v>3.4990000000000001</c:v>
                </c:pt>
                <c:pt idx="5">
                  <c:v>4.0659999999999998</c:v>
                </c:pt>
                <c:pt idx="6">
                  <c:v>0.86199999999999999</c:v>
                </c:pt>
                <c:pt idx="7">
                  <c:v>0.13600000000000001</c:v>
                </c:pt>
                <c:pt idx="8">
                  <c:v>-0.78</c:v>
                </c:pt>
                <c:pt idx="9">
                  <c:v>-9.4740000000000002</c:v>
                </c:pt>
                <c:pt idx="10">
                  <c:v>5.851</c:v>
                </c:pt>
                <c:pt idx="11">
                  <c:v>3.4950000000000001</c:v>
                </c:pt>
                <c:pt idx="12">
                  <c:v>5.2119999999999997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6B-417E-AC75-D2384D173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9112984"/>
        <c:axId val="539110360"/>
      </c:lineChart>
      <c:catAx>
        <c:axId val="53400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534006968"/>
        <c:crosses val="autoZero"/>
        <c:auto val="1"/>
        <c:lblAlgn val="ctr"/>
        <c:lblOffset val="100"/>
        <c:noMultiLvlLbl val="0"/>
      </c:catAx>
      <c:valAx>
        <c:axId val="53400696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;&quot;△ 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534007296"/>
        <c:crosses val="autoZero"/>
        <c:crossBetween val="between"/>
      </c:valAx>
      <c:valAx>
        <c:axId val="539110360"/>
        <c:scaling>
          <c:orientation val="minMax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539112984"/>
        <c:crosses val="max"/>
        <c:crossBetween val="between"/>
      </c:valAx>
      <c:catAx>
        <c:axId val="539112984"/>
        <c:scaling>
          <c:orientation val="minMax"/>
        </c:scaling>
        <c:delete val="1"/>
        <c:axPos val="b"/>
        <c:numFmt formatCode="#,##0_);[Red]\(#,##0\)" sourceLinked="1"/>
        <c:majorTickMark val="out"/>
        <c:minorTickMark val="none"/>
        <c:tickLblPos val="nextTo"/>
        <c:crossAx val="53911036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r>
              <a:rPr lang="ja-JP" altLang="en-US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経済活動別対前年度増加率（％）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31700141077094779"/>
          <c:y val="0.12613099835278235"/>
          <c:w val="0.64289834071276142"/>
          <c:h val="0.7632854871217409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1"/>
          <c:cat>
            <c:strRef>
              <c:f>地域分析BD!$R$6:$R$23</c:f>
              <c:strCache>
                <c:ptCount val="18"/>
                <c:pt idx="0">
                  <c:v>その他のサービス</c:v>
                </c:pt>
                <c:pt idx="1">
                  <c:v>保健衛生・社会事業</c:v>
                </c:pt>
                <c:pt idx="2">
                  <c:v>教育</c:v>
                </c:pt>
                <c:pt idx="3">
                  <c:v>公務</c:v>
                </c:pt>
                <c:pt idx="4">
                  <c:v>専門・科学技術、業務支援</c:v>
                </c:pt>
                <c:pt idx="5">
                  <c:v>不動産業</c:v>
                </c:pt>
                <c:pt idx="6">
                  <c:v>金融・保険業</c:v>
                </c:pt>
                <c:pt idx="7">
                  <c:v>情報通信業</c:v>
                </c:pt>
                <c:pt idx="8">
                  <c:v>宿泊・飲食サービス業</c:v>
                </c:pt>
                <c:pt idx="9">
                  <c:v>運輸・郵便業</c:v>
                </c:pt>
                <c:pt idx="10">
                  <c:v>卸売・小売業</c:v>
                </c:pt>
                <c:pt idx="11">
                  <c:v>電気・ガス・水道・廃棄物</c:v>
                </c:pt>
                <c:pt idx="12">
                  <c:v>建設業</c:v>
                </c:pt>
                <c:pt idx="13">
                  <c:v>製造業</c:v>
                </c:pt>
                <c:pt idx="14">
                  <c:v>鉱業</c:v>
                </c:pt>
                <c:pt idx="15">
                  <c:v>水産業</c:v>
                </c:pt>
                <c:pt idx="16">
                  <c:v>林業</c:v>
                </c:pt>
                <c:pt idx="17">
                  <c:v>農業</c:v>
                </c:pt>
              </c:strCache>
            </c:strRef>
          </c:cat>
          <c:val>
            <c:numRef>
              <c:f>地域分析BD!$S$6:$S$23</c:f>
              <c:numCache>
                <c:formatCode>#,##0.0;"△ "#,##0.0</c:formatCode>
                <c:ptCount val="18"/>
                <c:pt idx="0">
                  <c:v>-3.8759999999999999</c:v>
                </c:pt>
                <c:pt idx="1">
                  <c:v>0.748</c:v>
                </c:pt>
                <c:pt idx="2">
                  <c:v>-1.4730000000000001</c:v>
                </c:pt>
                <c:pt idx="3">
                  <c:v>4.4480000000000004</c:v>
                </c:pt>
                <c:pt idx="4">
                  <c:v>-2.9769999999999999</c:v>
                </c:pt>
                <c:pt idx="5">
                  <c:v>-2.1459999999999999</c:v>
                </c:pt>
                <c:pt idx="6">
                  <c:v>5.4790000000000001</c:v>
                </c:pt>
                <c:pt idx="7">
                  <c:v>1.1539999999999999</c:v>
                </c:pt>
                <c:pt idx="8">
                  <c:v>33.957999999999998</c:v>
                </c:pt>
                <c:pt idx="9">
                  <c:v>40.837000000000003</c:v>
                </c:pt>
                <c:pt idx="10">
                  <c:v>3.89</c:v>
                </c:pt>
                <c:pt idx="11">
                  <c:v>9.92</c:v>
                </c:pt>
                <c:pt idx="12">
                  <c:v>-1.514</c:v>
                </c:pt>
                <c:pt idx="13">
                  <c:v>12.901999999999999</c:v>
                </c:pt>
                <c:pt idx="14">
                  <c:v>-0.53</c:v>
                </c:pt>
                <c:pt idx="15">
                  <c:v>23.454999999999998</c:v>
                </c:pt>
                <c:pt idx="16">
                  <c:v>-2.222</c:v>
                </c:pt>
                <c:pt idx="17">
                  <c:v>10.656000000000001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0000FF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0-6970-463B-9380-6FFF91298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01312216"/>
        <c:axId val="601310904"/>
      </c:barChart>
      <c:catAx>
        <c:axId val="6013122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601310904"/>
        <c:crosses val="autoZero"/>
        <c:auto val="1"/>
        <c:lblAlgn val="ctr"/>
        <c:lblOffset val="0"/>
        <c:noMultiLvlLbl val="0"/>
      </c:catAx>
      <c:valAx>
        <c:axId val="60131090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#,##0.0;&quot;▲ &quot;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601312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0"/>
              <a:t>市町村内総生産の特化係数</a:t>
            </a:r>
            <a:endParaRPr lang="en-US" altLang="ja-JP" sz="1400" b="0"/>
          </a:p>
        </c:rich>
      </c:tx>
      <c:layout>
        <c:manualLayout>
          <c:xMode val="edge"/>
          <c:yMode val="edge"/>
          <c:x val="0.29011899420073611"/>
          <c:y val="1.25463506039459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983280031974509"/>
          <c:y val="0.2151535715506239"/>
          <c:w val="0.50516874242358656"/>
          <c:h val="0.62073905208659608"/>
        </c:manualLayout>
      </c:layout>
      <c:radarChart>
        <c:radarStyle val="filled"/>
        <c:varyColors val="0"/>
        <c:ser>
          <c:idx val="1"/>
          <c:order val="0"/>
          <c:tx>
            <c:strRef>
              <c:f>地域分析BD!$B$130</c:f>
              <c:strCache>
                <c:ptCount val="1"/>
                <c:pt idx="0">
                  <c:v>沖 縄 県</c:v>
                </c:pt>
              </c:strCache>
            </c:strRef>
          </c:tx>
          <c:spPr>
            <a:noFill/>
            <a:ln w="38100">
              <a:solidFill>
                <a:srgbClr val="FF0000"/>
              </a:solidFill>
            </a:ln>
          </c:spPr>
          <c:cat>
            <c:strRef>
              <c:f>地域分析BD!$R$170:$R$187</c:f>
              <c:strCache>
                <c:ptCount val="18"/>
                <c:pt idx="0">
                  <c:v>農業</c:v>
                </c:pt>
                <c:pt idx="1">
                  <c:v>林業</c:v>
                </c:pt>
                <c:pt idx="2">
                  <c:v>水産業</c:v>
                </c:pt>
                <c:pt idx="3">
                  <c:v>鉱業</c:v>
                </c:pt>
                <c:pt idx="4">
                  <c:v>製造業</c:v>
                </c:pt>
                <c:pt idx="5">
                  <c:v>建設業</c:v>
                </c:pt>
                <c:pt idx="6">
                  <c:v>電気・ガス・
水道・廃棄物</c:v>
                </c:pt>
                <c:pt idx="7">
                  <c:v>卸売・小売業</c:v>
                </c:pt>
                <c:pt idx="8">
                  <c:v>運輸・郵便業</c:v>
                </c:pt>
                <c:pt idx="9">
                  <c:v>宿泊・飲食
サービス業</c:v>
                </c:pt>
                <c:pt idx="10">
                  <c:v>情報通信業</c:v>
                </c:pt>
                <c:pt idx="11">
                  <c:v>金融・保険業</c:v>
                </c:pt>
                <c:pt idx="12">
                  <c:v>不動産業</c:v>
                </c:pt>
                <c:pt idx="13">
                  <c:v>専門・科学技術、
業務支援</c:v>
                </c:pt>
                <c:pt idx="14">
                  <c:v>公務</c:v>
                </c:pt>
                <c:pt idx="15">
                  <c:v>教育</c:v>
                </c:pt>
                <c:pt idx="16">
                  <c:v>保健衛生・
社会事業</c:v>
                </c:pt>
                <c:pt idx="17">
                  <c:v>その他の
サービス</c:v>
                </c:pt>
              </c:strCache>
            </c:strRef>
          </c:cat>
          <c:val>
            <c:numRef>
              <c:f>地域分析BD!$W$170:$W$187</c:f>
              <c:numCache>
                <c:formatCode>#,##0.0;"△ "#,##0.0</c:formatCode>
                <c:ptCount val="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C5-4BCF-883B-8F3E804A291B}"/>
            </c:ext>
          </c:extLst>
        </c:ser>
        <c:ser>
          <c:idx val="0"/>
          <c:order val="1"/>
          <c:tx>
            <c:strRef>
              <c:f>地域分析BD!$B$2</c:f>
              <c:strCache>
                <c:ptCount val="1"/>
                <c:pt idx="0">
                  <c:v>那 覇 市</c:v>
                </c:pt>
              </c:strCache>
            </c:strRef>
          </c:tx>
          <c:spPr>
            <a:noFill/>
            <a:ln w="38100">
              <a:solidFill>
                <a:srgbClr val="0000FF"/>
              </a:solidFill>
            </a:ln>
          </c:spPr>
          <c:cat>
            <c:strRef>
              <c:f>地域分析BD!$R$170:$R$187</c:f>
              <c:strCache>
                <c:ptCount val="18"/>
                <c:pt idx="0">
                  <c:v>農業</c:v>
                </c:pt>
                <c:pt idx="1">
                  <c:v>林業</c:v>
                </c:pt>
                <c:pt idx="2">
                  <c:v>水産業</c:v>
                </c:pt>
                <c:pt idx="3">
                  <c:v>鉱業</c:v>
                </c:pt>
                <c:pt idx="4">
                  <c:v>製造業</c:v>
                </c:pt>
                <c:pt idx="5">
                  <c:v>建設業</c:v>
                </c:pt>
                <c:pt idx="6">
                  <c:v>電気・ガス・
水道・廃棄物</c:v>
                </c:pt>
                <c:pt idx="7">
                  <c:v>卸売・小売業</c:v>
                </c:pt>
                <c:pt idx="8">
                  <c:v>運輸・郵便業</c:v>
                </c:pt>
                <c:pt idx="9">
                  <c:v>宿泊・飲食
サービス業</c:v>
                </c:pt>
                <c:pt idx="10">
                  <c:v>情報通信業</c:v>
                </c:pt>
                <c:pt idx="11">
                  <c:v>金融・保険業</c:v>
                </c:pt>
                <c:pt idx="12">
                  <c:v>不動産業</c:v>
                </c:pt>
                <c:pt idx="13">
                  <c:v>専門・科学技術、
業務支援</c:v>
                </c:pt>
                <c:pt idx="14">
                  <c:v>公務</c:v>
                </c:pt>
                <c:pt idx="15">
                  <c:v>教育</c:v>
                </c:pt>
                <c:pt idx="16">
                  <c:v>保健衛生・
社会事業</c:v>
                </c:pt>
                <c:pt idx="17">
                  <c:v>その他の
サービス</c:v>
                </c:pt>
              </c:strCache>
            </c:strRef>
          </c:cat>
          <c:val>
            <c:numRef>
              <c:f>地域分析BD!$V$170:$V$187</c:f>
              <c:numCache>
                <c:formatCode>#,##0.0;"△ "#,##0.0</c:formatCode>
                <c:ptCount val="18"/>
                <c:pt idx="0">
                  <c:v>2.5265428500661026E-2</c:v>
                </c:pt>
                <c:pt idx="1">
                  <c:v>0.39977749157325454</c:v>
                </c:pt>
                <c:pt idx="2">
                  <c:v>0.69889622201189361</c:v>
                </c:pt>
                <c:pt idx="3">
                  <c:v>0.22208064210631595</c:v>
                </c:pt>
                <c:pt idx="4">
                  <c:v>0.23695772628741218</c:v>
                </c:pt>
                <c:pt idx="5">
                  <c:v>0.53248836097383878</c:v>
                </c:pt>
                <c:pt idx="6">
                  <c:v>0.70735649430987779</c:v>
                </c:pt>
                <c:pt idx="7">
                  <c:v>0.94150916260340933</c:v>
                </c:pt>
                <c:pt idx="8">
                  <c:v>1.5355589013665971</c:v>
                </c:pt>
                <c:pt idx="9">
                  <c:v>0.9061286641356785</c:v>
                </c:pt>
                <c:pt idx="10">
                  <c:v>1.7497822905397322</c:v>
                </c:pt>
                <c:pt idx="11">
                  <c:v>1.9114408429352834</c:v>
                </c:pt>
                <c:pt idx="12">
                  <c:v>0.84062623402640779</c:v>
                </c:pt>
                <c:pt idx="13">
                  <c:v>1.3541824023762661</c:v>
                </c:pt>
                <c:pt idx="14">
                  <c:v>1.492142084579303</c:v>
                </c:pt>
                <c:pt idx="15">
                  <c:v>0.5489888807194494</c:v>
                </c:pt>
                <c:pt idx="16">
                  <c:v>0.74682690933612261</c:v>
                </c:pt>
                <c:pt idx="17">
                  <c:v>0.80055674777867736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C5-4BCF-883B-8F3E804A2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2797576"/>
        <c:axId val="1"/>
      </c:radarChart>
      <c:catAx>
        <c:axId val="4627975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 anchor="t" anchorCtr="0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;&quot;△ &quot;#,##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2797576"/>
        <c:crosses val="autoZero"/>
        <c:crossBetween val="between"/>
      </c:valAx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r>
              <a:rPr lang="ja-JP" altLang="en-US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地域経済に占めるシェア</a:t>
            </a:r>
          </a:p>
        </c:rich>
      </c:tx>
      <c:layout>
        <c:manualLayout>
          <c:xMode val="edge"/>
          <c:yMode val="edge"/>
          <c:x val="0.1123711936050248"/>
          <c:y val="3.76470495236561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1455661611761399E-2"/>
          <c:y val="0.19004349172925941"/>
          <c:w val="0.63288978334742541"/>
          <c:h val="0.7780825003964798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68-457C-BB74-F3AFC31404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368-457C-BB74-F3AFC31404C1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地域分析BD!$R$135:$R$136</c:f>
              <c:strCache>
                <c:ptCount val="2"/>
                <c:pt idx="0">
                  <c:v>那 覇 市</c:v>
                </c:pt>
                <c:pt idx="1">
                  <c:v>その他</c:v>
                </c:pt>
              </c:strCache>
            </c:strRef>
          </c:cat>
          <c:val>
            <c:numRef>
              <c:f>地域分析BD!$S$135:$S$136</c:f>
              <c:numCache>
                <c:formatCode>0.00%</c:formatCode>
                <c:ptCount val="2"/>
                <c:pt idx="0">
                  <c:v>1</c:v>
                </c:pt>
                <c:pt idx="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68-457C-BB74-F3AFC31404C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8346676822813559"/>
          <c:y val="0.83085210292367384"/>
          <c:w val="0.35404443322799156"/>
          <c:h val="0.145890221796455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r>
              <a:rPr lang="ja-JP" altLang="en-US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県経済に占めるシェア</a:t>
            </a:r>
          </a:p>
        </c:rich>
      </c:tx>
      <c:layout>
        <c:manualLayout>
          <c:xMode val="edge"/>
          <c:yMode val="edge"/>
          <c:x val="0.1123711936050248"/>
          <c:y val="3.76470495236561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1455661611761399E-2"/>
          <c:y val="0.19004349172925941"/>
          <c:w val="0.63288978334742541"/>
          <c:h val="0.7780825003964798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6B-447E-B355-99D87486D6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6B-447E-B355-99D87486D6EF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地域分析BD!$R$130:$R$131</c:f>
              <c:strCache>
                <c:ptCount val="2"/>
                <c:pt idx="0">
                  <c:v>那 覇 市</c:v>
                </c:pt>
                <c:pt idx="1">
                  <c:v>その他</c:v>
                </c:pt>
              </c:strCache>
            </c:strRef>
          </c:cat>
          <c:val>
            <c:numRef>
              <c:f>地域分析BD!$S$130:$S$131</c:f>
              <c:numCache>
                <c:formatCode>0.00%</c:formatCode>
                <c:ptCount val="2"/>
                <c:pt idx="0">
                  <c:v>0.31178816961593464</c:v>
                </c:pt>
                <c:pt idx="1">
                  <c:v>0.68821183038406541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6B-447E-B355-99D87486D6E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1295977187020778"/>
          <c:y val="0.84967562768550187"/>
          <c:w val="0.35404443322799156"/>
          <c:h val="0.145890221796455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r>
              <a:rPr lang="ja-JP" altLang="en-US">
                <a:solidFill>
                  <a:sysClr val="windowText" lastClr="000000"/>
                </a:solidFill>
              </a:rPr>
              <a:t>経済活動別構成比（％）</a:t>
            </a:r>
          </a:p>
        </c:rich>
      </c:tx>
      <c:layout>
        <c:manualLayout>
          <c:xMode val="edge"/>
          <c:yMode val="edge"/>
          <c:x val="0.32680394176865019"/>
          <c:y val="2.51075609491306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8312437497443324E-2"/>
          <c:y val="0.1869443669356507"/>
          <c:w val="0.5462784378473271"/>
          <c:h val="0.7809753913986703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AC7-47FD-9ED9-99DD85707D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C7-47FD-9ED9-99DD85707D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AC7-47FD-9ED9-99DD85707D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AC7-47FD-9ED9-99DD85707D4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AC7-47FD-9ED9-99DD85707D4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AC7-47FD-9ED9-99DD85707D4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AC7-47FD-9ED9-99DD85707D4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AC7-47FD-9ED9-99DD85707D4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AC7-47FD-9ED9-99DD85707D4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8AC7-47FD-9ED9-99DD85707D4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8AC7-47FD-9ED9-99DD85707D44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地域分析BD!$U$68:$U$78</c:f>
              <c:strCache>
                <c:ptCount val="11"/>
                <c:pt idx="0">
                  <c:v>公務
14.8％</c:v>
                </c:pt>
                <c:pt idx="1">
                  <c:v>専門・科学、業務支援
13.8％</c:v>
                </c:pt>
                <c:pt idx="2">
                  <c:v>不動産業
10.7％</c:v>
                </c:pt>
                <c:pt idx="3">
                  <c:v>運輸・郵便業
10.4％</c:v>
                </c:pt>
                <c:pt idx="4">
                  <c:v>保健衛生・社会事業
9.0％</c:v>
                </c:pt>
                <c:pt idx="5">
                  <c:v>卸売・小売業
8.8％</c:v>
                </c:pt>
                <c:pt idx="6">
                  <c:v>金融・保険業
7.6％</c:v>
                </c:pt>
                <c:pt idx="7">
                  <c:v>情報通信業
6.6％</c:v>
                </c:pt>
                <c:pt idx="8">
                  <c:v>建設業
4.4％</c:v>
                </c:pt>
                <c:pt idx="9">
                  <c:v>宿泊・飲食サービス業
4.4％</c:v>
                </c:pt>
                <c:pt idx="10">
                  <c:v>その他
10.4％</c:v>
                </c:pt>
              </c:strCache>
            </c:strRef>
          </c:cat>
          <c:val>
            <c:numRef>
              <c:f>地域分析BD!$V$68:$V$78</c:f>
              <c:numCache>
                <c:formatCode>0.0</c:formatCode>
                <c:ptCount val="11"/>
                <c:pt idx="0">
                  <c:v>14.764717260054432</c:v>
                </c:pt>
                <c:pt idx="1">
                  <c:v>13.834362608971967</c:v>
                </c:pt>
                <c:pt idx="2">
                  <c:v>10.667716665975878</c:v>
                </c:pt>
                <c:pt idx="3">
                  <c:v>10.363838576421989</c:v>
                </c:pt>
                <c:pt idx="4">
                  <c:v>8.9933822411958939</c:v>
                </c:pt>
                <c:pt idx="5">
                  <c:v>8.7825534325306354</c:v>
                </c:pt>
                <c:pt idx="6">
                  <c:v>7.5821002749340298</c:v>
                </c:pt>
                <c:pt idx="7">
                  <c:v>6.5718213343280691</c:v>
                </c:pt>
                <c:pt idx="8">
                  <c:v>4.3692405465522723</c:v>
                </c:pt>
                <c:pt idx="9">
                  <c:v>4.3530070046006548</c:v>
                </c:pt>
                <c:pt idx="10">
                  <c:v>10.418341830038258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AC7-47FD-9ED9-99DD85707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67025269392140707"/>
          <c:y val="0.11214811544236937"/>
          <c:w val="0.32691414447130507"/>
          <c:h val="0.878508346891703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r>
              <a:rPr lang="ja-JP" altLang="en-US"/>
              <a:t>（参考）就業者１人当たり市町村内総生産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0503994787652572E-2"/>
          <c:y val="0.14398114361639772"/>
          <c:w val="0.82143289583185197"/>
          <c:h val="0.699347879443318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地域分析BD!$B$239</c:f>
              <c:strCache>
                <c:ptCount val="1"/>
                <c:pt idx="0">
                  <c:v>那 覇 市</c:v>
                </c:pt>
              </c:strCache>
            </c:strRef>
          </c:tx>
          <c:spPr>
            <a:solidFill>
              <a:srgbClr val="FFCABF"/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地域分析BD!$C$238:$O$238</c:f>
              <c:strCache>
                <c:ptCount val="13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  <c:pt idx="12">
                  <c:v>R5</c:v>
                </c:pt>
              </c:strCache>
            </c:strRef>
          </c:cat>
          <c:val>
            <c:numRef>
              <c:f>地域分析BD!$C$239:$O$239</c:f>
              <c:numCache>
                <c:formatCode>#,##0;"△ "#,##0</c:formatCode>
                <c:ptCount val="13"/>
                <c:pt idx="0">
                  <c:v>7346</c:v>
                </c:pt>
                <c:pt idx="1">
                  <c:v>7151</c:v>
                </c:pt>
                <c:pt idx="2">
                  <c:v>7267</c:v>
                </c:pt>
                <c:pt idx="3">
                  <c:v>7301</c:v>
                </c:pt>
                <c:pt idx="4">
                  <c:v>7459</c:v>
                </c:pt>
                <c:pt idx="5">
                  <c:v>7513</c:v>
                </c:pt>
                <c:pt idx="6">
                  <c:v>7472</c:v>
                </c:pt>
                <c:pt idx="7">
                  <c:v>7385</c:v>
                </c:pt>
                <c:pt idx="8">
                  <c:v>7119</c:v>
                </c:pt>
                <c:pt idx="9">
                  <c:v>6478</c:v>
                </c:pt>
                <c:pt idx="10">
                  <c:v>6755</c:v>
                </c:pt>
                <c:pt idx="11">
                  <c:v>7006</c:v>
                </c:pt>
                <c:pt idx="12">
                  <c:v>7218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52-4B05-8060-39381919D5AF}"/>
            </c:ext>
          </c:extLst>
        </c:ser>
        <c:ser>
          <c:idx val="1"/>
          <c:order val="1"/>
          <c:tx>
            <c:strRef>
              <c:f>地域分析BD!$B$240</c:f>
              <c:strCache>
                <c:ptCount val="1"/>
                <c:pt idx="0">
                  <c:v>沖 縄 県</c:v>
                </c:pt>
              </c:strCache>
            </c:strRef>
          </c:tx>
          <c:spPr>
            <a:solidFill>
              <a:srgbClr val="BFE4FF"/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地域分析BD!$C$238:$O$238</c:f>
              <c:strCache>
                <c:ptCount val="13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  <c:pt idx="12">
                  <c:v>R5</c:v>
                </c:pt>
              </c:strCache>
            </c:strRef>
          </c:cat>
          <c:val>
            <c:numRef>
              <c:f>地域分析BD!$C$240:$O$240</c:f>
              <c:numCache>
                <c:formatCode>#,##0;"△ "#,##0</c:formatCode>
                <c:ptCount val="13"/>
                <c:pt idx="0">
                  <c:v>5911</c:v>
                </c:pt>
                <c:pt idx="1">
                  <c:v>5815</c:v>
                </c:pt>
                <c:pt idx="2">
                  <c:v>5955</c:v>
                </c:pt>
                <c:pt idx="3">
                  <c:v>5930</c:v>
                </c:pt>
                <c:pt idx="4">
                  <c:v>6126</c:v>
                </c:pt>
                <c:pt idx="5">
                  <c:v>6191</c:v>
                </c:pt>
                <c:pt idx="6">
                  <c:v>6227</c:v>
                </c:pt>
                <c:pt idx="7">
                  <c:v>6186</c:v>
                </c:pt>
                <c:pt idx="8">
                  <c:v>6053</c:v>
                </c:pt>
                <c:pt idx="9">
                  <c:v>5733</c:v>
                </c:pt>
                <c:pt idx="10">
                  <c:v>5911</c:v>
                </c:pt>
                <c:pt idx="11">
                  <c:v>5985</c:v>
                </c:pt>
                <c:pt idx="12">
                  <c:v>6138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52-4B05-8060-39381919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75679408"/>
        <c:axId val="178087968"/>
      </c:barChart>
      <c:lineChart>
        <c:grouping val="standard"/>
        <c:varyColors val="0"/>
        <c:ser>
          <c:idx val="2"/>
          <c:order val="2"/>
          <c:tx>
            <c:strRef>
              <c:f>地域分析BD!$B$241</c:f>
              <c:strCache>
                <c:ptCount val="1"/>
                <c:pt idx="0">
                  <c:v>水準（県平均＝100）</c:v>
                </c:pt>
              </c:strCache>
            </c:strRef>
          </c:tx>
          <c:spPr>
            <a:ln w="25400" cap="rnd">
              <a:solidFill>
                <a:srgbClr val="0041FF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0041FF"/>
              </a:solidFill>
              <a:ln w="9525">
                <a:noFill/>
              </a:ln>
              <a:effectLst/>
            </c:spPr>
          </c:marker>
          <c:cat>
            <c:numRef>
              <c:f>地域分析BD!$S$28:$AD$28</c:f>
              <c:numCache>
                <c:formatCode>General</c:formatCode>
                <c:ptCount val="12"/>
              </c:numCache>
            </c:numRef>
          </c:cat>
          <c:val>
            <c:numRef>
              <c:f>地域分析BD!$C$241:$O$241</c:f>
              <c:numCache>
                <c:formatCode>0.0</c:formatCode>
                <c:ptCount val="13"/>
                <c:pt idx="0">
                  <c:v>124.27677211977668</c:v>
                </c:pt>
                <c:pt idx="1">
                  <c:v>122.97506448839208</c:v>
                </c:pt>
                <c:pt idx="2">
                  <c:v>122.03190596137699</c:v>
                </c:pt>
                <c:pt idx="3">
                  <c:v>123.11973018549747</c:v>
                </c:pt>
                <c:pt idx="4">
                  <c:v>121.75971269996735</c:v>
                </c:pt>
                <c:pt idx="5">
                  <c:v>121.35357777418834</c:v>
                </c:pt>
                <c:pt idx="6">
                  <c:v>119.99357636100851</c:v>
                </c:pt>
                <c:pt idx="7">
                  <c:v>119.38247655997414</c:v>
                </c:pt>
                <c:pt idx="8">
                  <c:v>117.61110193292583</c:v>
                </c:pt>
                <c:pt idx="9">
                  <c:v>112.99494156637013</c:v>
                </c:pt>
                <c:pt idx="10">
                  <c:v>114.27846388090002</c:v>
                </c:pt>
                <c:pt idx="11">
                  <c:v>117.0593149540518</c:v>
                </c:pt>
                <c:pt idx="12">
                  <c:v>117.59530791788858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2-4B05-8060-39381919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631184"/>
        <c:axId val="247819088"/>
      </c:lineChart>
      <c:catAx>
        <c:axId val="17567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178087968"/>
        <c:crosses val="autoZero"/>
        <c:auto val="1"/>
        <c:lblAlgn val="ctr"/>
        <c:lblOffset val="100"/>
        <c:noMultiLvlLbl val="0"/>
      </c:catAx>
      <c:valAx>
        <c:axId val="1780879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defRPr>
                </a:pPr>
                <a:r>
                  <a:rPr lang="ja-JP" altLang="en-US"/>
                  <a:t>（千円）</a:t>
                </a:r>
              </a:p>
            </c:rich>
          </c:tx>
          <c:layout>
            <c:manualLayout>
              <c:xMode val="edge"/>
              <c:yMode val="edge"/>
              <c:x val="7.3226562214709504E-3"/>
              <c:y val="5.266556837293947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  <a:cs typeface="+mn-cs"/>
                </a:defRPr>
              </a:pPr>
              <a:endParaRPr lang="ja-JP"/>
            </a:p>
          </c:txPr>
        </c:title>
        <c:numFmt formatCode="#,##0;&quot;△ 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175679408"/>
        <c:crosses val="autoZero"/>
        <c:crossBetween val="between"/>
      </c:valAx>
      <c:valAx>
        <c:axId val="2478190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defRPr>
                </a:pPr>
                <a:r>
                  <a:rPr lang="ja-JP" altLang="en-US"/>
                  <a:t>（県＝</a:t>
                </a:r>
                <a:r>
                  <a:rPr lang="en-US" altLang="ja-JP"/>
                  <a:t>100</a:t>
                </a:r>
                <a:r>
                  <a:rPr lang="ja-JP" altLang="en-US"/>
                  <a:t>）</a:t>
                </a:r>
              </a:p>
            </c:rich>
          </c:tx>
          <c:layout>
            <c:manualLayout>
              <c:xMode val="edge"/>
              <c:yMode val="edge"/>
              <c:x val="0.90724635452803482"/>
              <c:y val="6.020384814343151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  <a:cs typeface="+mn-cs"/>
                </a:defRPr>
              </a:pPr>
              <a:endParaRPr lang="ja-JP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252631184"/>
        <c:crosses val="max"/>
        <c:crossBetween val="between"/>
      </c:valAx>
      <c:catAx>
        <c:axId val="252631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7819088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95000"/>
              <a:lumOff val="5000"/>
            </a:schemeClr>
          </a:solidFill>
          <a:latin typeface="ＭＳ ゴシック" panose="020B0609070205080204" pitchFamily="49" charset="-128"/>
          <a:ea typeface="ＭＳ ゴシック" panose="020B0609070205080204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23814</xdr:colOff>
      <xdr:row>34</xdr:row>
      <xdr:rowOff>154780</xdr:rowOff>
    </xdr:from>
    <xdr:to>
      <xdr:col>4</xdr:col>
      <xdr:colOff>321470</xdr:colOff>
      <xdr:row>52</xdr:row>
      <xdr:rowOff>23811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/>
      </xdr:nvGrpSpPr>
      <xdr:grpSpPr>
        <a:xfrm>
          <a:off x="26989" y="7094423"/>
          <a:ext cx="5043374" cy="3546134"/>
          <a:chOff x="23814" y="6369843"/>
          <a:chExt cx="4869656" cy="3726656"/>
        </a:xfrm>
      </xdr:grpSpPr>
      <xdr:graphicFrame macro="">
        <xdr:nvGraphicFramePr>
          <xdr:cNvPr id="2" name="グラフ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GraphicFramePr>
            <a:graphicFrameLocks/>
          </xdr:cNvGraphicFramePr>
        </xdr:nvGraphicFramePr>
        <xdr:xfrm>
          <a:off x="59533" y="6369843"/>
          <a:ext cx="4726780" cy="372665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23814" y="6500813"/>
            <a:ext cx="773906" cy="21431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（百万円）</a:t>
            </a:r>
            <a:endPara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4119564" y="6488907"/>
            <a:ext cx="773906" cy="21431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（％）</a:t>
            </a:r>
            <a:endPara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</xdr:grpSp>
    <xdr:clientData/>
  </xdr:twoCellAnchor>
  <xdr:twoCellAnchor>
    <xdr:from>
      <xdr:col>4</xdr:col>
      <xdr:colOff>333374</xdr:colOff>
      <xdr:row>34</xdr:row>
      <xdr:rowOff>166686</xdr:rowOff>
    </xdr:from>
    <xdr:to>
      <xdr:col>10</xdr:col>
      <xdr:colOff>654843</xdr:colOff>
      <xdr:row>52</xdr:row>
      <xdr:rowOff>23810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5085442" y="7103154"/>
          <a:ext cx="4784612" cy="3537402"/>
          <a:chOff x="4905374" y="6381749"/>
          <a:chExt cx="4750594" cy="3714749"/>
        </a:xfrm>
      </xdr:grpSpPr>
      <xdr:graphicFrame macro="">
        <xdr:nvGraphicFramePr>
          <xdr:cNvPr id="3" name="グラフ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aphicFramePr>
            <a:graphicFrameLocks/>
          </xdr:cNvGraphicFramePr>
        </xdr:nvGraphicFramePr>
        <xdr:xfrm>
          <a:off x="4905374" y="6381749"/>
          <a:ext cx="4750594" cy="37147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$E$2">
        <xdr:nvSpPr>
          <xdr:cNvPr id="6" name="正方形/長方形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8763001" y="6465094"/>
            <a:ext cx="833435" cy="214312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ctr"/>
          <a:lstStyle/>
          <a:p>
            <a:pPr algn="ctr"/>
            <a:fld id="{83E1AF4F-9A2F-4D13-BB35-5C23002142DA}" type="TxLink">
              <a:rPr kumimoji="1" lang="ja-JP" altLang="en-US" sz="1100" b="1" i="0" u="none" strike="noStrike">
                <a:solidFill>
                  <a:sysClr val="windowText" lastClr="000000"/>
                </a:solidFill>
                <a:latin typeface="ＭＳ ゴシック"/>
                <a:ea typeface="ＭＳ ゴシック"/>
              </a:rPr>
              <a:pPr algn="ctr"/>
              <a:t>令和５年度</a:t>
            </a:fld>
            <a:endParaRPr kumimoji="1" lang="en-US" altLang="ja-JP" sz="9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</xdr:grpSp>
    <xdr:clientData/>
  </xdr:twoCellAnchor>
  <xdr:twoCellAnchor>
    <xdr:from>
      <xdr:col>4</xdr:col>
      <xdr:colOff>333375</xdr:colOff>
      <xdr:row>52</xdr:row>
      <xdr:rowOff>83343</xdr:rowOff>
    </xdr:from>
    <xdr:to>
      <xdr:col>10</xdr:col>
      <xdr:colOff>666751</xdr:colOff>
      <xdr:row>78</xdr:row>
      <xdr:rowOff>130968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pSpPr/>
      </xdr:nvGrpSpPr>
      <xdr:grpSpPr>
        <a:xfrm>
          <a:off x="5079093" y="10700089"/>
          <a:ext cx="4799694" cy="5351236"/>
          <a:chOff x="4905375" y="10156031"/>
          <a:chExt cx="4762501" cy="5619750"/>
        </a:xfrm>
      </xdr:grpSpPr>
      <xdr:grpSp>
        <xdr:nvGrpSpPr>
          <xdr:cNvPr id="26" name="グループ化 25">
            <a:extLst>
              <a:ext uri="{FF2B5EF4-FFF2-40B4-BE49-F238E27FC236}">
                <a16:creationId xmlns:a16="http://schemas.microsoft.com/office/drawing/2014/main" id="{00000000-0008-0000-0100-00001A000000}"/>
              </a:ext>
            </a:extLst>
          </xdr:cNvPr>
          <xdr:cNvGrpSpPr/>
        </xdr:nvGrpSpPr>
        <xdr:grpSpPr>
          <a:xfrm>
            <a:off x="4905375" y="10156031"/>
            <a:ext cx="4762501" cy="5483896"/>
            <a:chOff x="4905375" y="10156031"/>
            <a:chExt cx="4762501" cy="5483896"/>
          </a:xfrm>
        </xdr:grpSpPr>
        <xdr:grpSp>
          <xdr:nvGrpSpPr>
            <xdr:cNvPr id="18" name="グループ化 17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GrpSpPr/>
          </xdr:nvGrpSpPr>
          <xdr:grpSpPr>
            <a:xfrm>
              <a:off x="4905375" y="10156031"/>
              <a:ext cx="4762501" cy="3917155"/>
              <a:chOff x="4905375" y="10156031"/>
              <a:chExt cx="4762501" cy="4095749"/>
            </a:xfrm>
          </xdr:grpSpPr>
          <xdr:graphicFrame macro="">
            <xdr:nvGraphicFramePr>
              <xdr:cNvPr id="16" name="グラフ 1036">
                <a:extLst>
                  <a:ext uri="{FF2B5EF4-FFF2-40B4-BE49-F238E27FC236}">
                    <a16:creationId xmlns:a16="http://schemas.microsoft.com/office/drawing/2014/main" id="{00000000-0008-0000-0100-000010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4905375" y="10156031"/>
              <a:ext cx="4762501" cy="409574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"/>
              </a:graphicData>
            </a:graphic>
          </xdr:graphicFrame>
          <xdr:sp macro="" textlink="$E$2">
            <xdr:nvSpPr>
              <xdr:cNvPr id="17" name="正方形/長方形 16">
                <a:extLst>
                  <a:ext uri="{FF2B5EF4-FFF2-40B4-BE49-F238E27FC236}">
                    <a16:creationId xmlns:a16="http://schemas.microsoft.com/office/drawing/2014/main" id="{00000000-0008-0000-0100-000011000000}"/>
                  </a:ext>
                </a:extLst>
              </xdr:cNvPr>
              <xdr:cNvSpPr/>
            </xdr:nvSpPr>
            <xdr:spPr>
              <a:xfrm>
                <a:off x="8715375" y="10240425"/>
                <a:ext cx="833435" cy="214312"/>
              </a:xfrm>
              <a:prstGeom prst="rect">
                <a:avLst/>
              </a:prstGeom>
              <a:no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none" rtlCol="0" anchor="ctr"/>
              <a:lstStyle/>
              <a:p>
                <a:pPr algn="ctr"/>
                <a:fld id="{83E1AF4F-9A2F-4D13-BB35-5C23002142DA}" type="TxLink">
                  <a:rPr kumimoji="1" lang="ja-JP" altLang="en-US" sz="1100" b="1" i="0" u="none" strike="noStrike">
                    <a:solidFill>
                      <a:sysClr val="windowText" lastClr="000000"/>
                    </a:solidFill>
                    <a:latin typeface="ＭＳ ゴシック"/>
                    <a:ea typeface="ＭＳ ゴシック"/>
                  </a:rPr>
                  <a:pPr algn="ctr"/>
                  <a:t>令和５年度</a:t>
                </a:fld>
                <a:endParaRPr kumimoji="1" lang="en-US" altLang="ja-JP" sz="900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</xdr:txBody>
          </xdr:sp>
        </xdr:grpSp>
        <mc:AlternateContent xmlns:mc="http://schemas.openxmlformats.org/markup-compatibility/2006" xmlns:a14="http://schemas.microsoft.com/office/drawing/2010/main">
          <mc:Choice Requires="a14">
            <xdr:pic>
              <xdr:nvPicPr>
                <xdr:cNvPr id="20" name="図 19">
                  <a:extLst>
                    <a:ext uri="{FF2B5EF4-FFF2-40B4-BE49-F238E27FC236}">
                      <a16:creationId xmlns:a16="http://schemas.microsoft.com/office/drawing/2014/main" id="{00000000-0008-0000-0100-000014000000}"/>
                    </a:ext>
                  </a:extLst>
                </xdr:cNvPr>
                <xdr:cNvPicPr>
                  <a:picLocks noChangeAspect="1" noChangeArrowheads="1"/>
                  <a:extLst>
                    <a:ext uri="{84589F7E-364E-4C9E-8A38-B11213B215E9}">
                      <a14:cameraTool cellRange="地域分析BD!$Y$170:$AD$178" spid="_x0000_s1295"/>
                    </a:ext>
                  </a:extLst>
                </xdr:cNvPicPr>
              </xdr:nvPicPr>
              <xdr:blipFill>
                <a:blip xmlns:r="http://schemas.openxmlformats.org/officeDocument/2006/relationships" r:embed="rId4"/>
                <a:srcRect/>
                <a:stretch>
                  <a:fillRect/>
                </a:stretch>
              </xdr:blipFill>
              <xdr:spPr bwMode="auto">
                <a:xfrm>
                  <a:off x="5167314" y="14168438"/>
                  <a:ext cx="4345779" cy="1471489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</a:extLst>
              </xdr:spPr>
            </xdr:pic>
          </mc:Choice>
          <mc:Fallback xmlns=""/>
        </mc:AlternateContent>
      </xdr:grpSp>
      <xdr:sp macro="" textlink="">
        <xdr:nvSpPr>
          <xdr:cNvPr id="23" name="正方形/長方形 22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/>
        </xdr:nvSpPr>
        <xdr:spPr>
          <a:xfrm>
            <a:off x="4917281" y="10179844"/>
            <a:ext cx="4738688" cy="5595937"/>
          </a:xfrm>
          <a:prstGeom prst="rect">
            <a:avLst/>
          </a:prstGeom>
          <a:noFill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59529</xdr:colOff>
      <xdr:row>52</xdr:row>
      <xdr:rowOff>83342</xdr:rowOff>
    </xdr:from>
    <xdr:to>
      <xdr:col>4</xdr:col>
      <xdr:colOff>333374</xdr:colOff>
      <xdr:row>78</xdr:row>
      <xdr:rowOff>142874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GrpSpPr/>
      </xdr:nvGrpSpPr>
      <xdr:grpSpPr>
        <a:xfrm>
          <a:off x="59529" y="10700088"/>
          <a:ext cx="5025913" cy="5366318"/>
          <a:chOff x="59529" y="10156030"/>
          <a:chExt cx="4845845" cy="5631657"/>
        </a:xfrm>
      </xdr:grpSpPr>
      <xdr:grpSp>
        <xdr:nvGrpSpPr>
          <xdr:cNvPr id="28" name="グループ化 2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GrpSpPr/>
        </xdr:nvGrpSpPr>
        <xdr:grpSpPr>
          <a:xfrm>
            <a:off x="59529" y="10156030"/>
            <a:ext cx="4845845" cy="5619752"/>
            <a:chOff x="59529" y="10156030"/>
            <a:chExt cx="4845845" cy="5619752"/>
          </a:xfrm>
        </xdr:grpSpPr>
        <xdr:graphicFrame macro="">
          <xdr:nvGraphicFramePr>
            <xdr:cNvPr id="24" name="グラフ 23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GraphicFramePr>
              <a:graphicFrameLocks/>
            </xdr:cNvGraphicFramePr>
          </xdr:nvGraphicFramePr>
          <xdr:xfrm>
            <a:off x="2321717" y="13751719"/>
            <a:ext cx="2583657" cy="202406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"/>
            </a:graphicData>
          </a:graphic>
        </xdr:graphicFrame>
        <xdr:graphicFrame macro="">
          <xdr:nvGraphicFramePr>
            <xdr:cNvPr id="8" name="グラフ 7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GraphicFramePr>
              <a:graphicFrameLocks/>
            </xdr:cNvGraphicFramePr>
          </xdr:nvGraphicFramePr>
          <xdr:xfrm>
            <a:off x="59529" y="13739811"/>
            <a:ext cx="2357440" cy="202406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6"/>
            </a:graphicData>
          </a:graphic>
        </xdr:graphicFrame>
        <xdr:grpSp>
          <xdr:nvGrpSpPr>
            <xdr:cNvPr id="15" name="グループ化 14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GrpSpPr/>
          </xdr:nvGrpSpPr>
          <xdr:grpSpPr>
            <a:xfrm>
              <a:off x="59532" y="10156030"/>
              <a:ext cx="4714874" cy="3429001"/>
              <a:chOff x="59532" y="10156030"/>
              <a:chExt cx="4595812" cy="3214689"/>
            </a:xfrm>
          </xdr:grpSpPr>
          <xdr:graphicFrame macro="">
            <xdr:nvGraphicFramePr>
              <xdr:cNvPr id="10" name="グラフ 9">
                <a:extLst>
                  <a:ext uri="{FF2B5EF4-FFF2-40B4-BE49-F238E27FC236}">
                    <a16:creationId xmlns:a16="http://schemas.microsoft.com/office/drawing/2014/main" id="{00000000-0008-0000-0100-00000A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59532" y="10156030"/>
              <a:ext cx="4595812" cy="321468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7"/>
              </a:graphicData>
            </a:graphic>
          </xdr:graphicFrame>
          <xdr:sp macro="" textlink="$E$2">
            <xdr:nvSpPr>
              <xdr:cNvPr id="14" name="正方形/長方形 13">
                <a:extLst>
                  <a:ext uri="{FF2B5EF4-FFF2-40B4-BE49-F238E27FC236}">
                    <a16:creationId xmlns:a16="http://schemas.microsoft.com/office/drawing/2014/main" id="{00000000-0008-0000-0100-00000E000000}"/>
                  </a:ext>
                </a:extLst>
              </xdr:cNvPr>
              <xdr:cNvSpPr/>
            </xdr:nvSpPr>
            <xdr:spPr>
              <a:xfrm>
                <a:off x="3721546" y="10252769"/>
                <a:ext cx="833435" cy="214312"/>
              </a:xfrm>
              <a:prstGeom prst="rect">
                <a:avLst/>
              </a:prstGeom>
              <a:no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wrap="none" rtlCol="0" anchor="ctr"/>
              <a:lstStyle/>
              <a:p>
                <a:pPr algn="ctr"/>
                <a:fld id="{83E1AF4F-9A2F-4D13-BB35-5C23002142DA}" type="TxLink">
                  <a:rPr kumimoji="1" lang="ja-JP" altLang="en-US" sz="1100" b="1" i="0" u="none" strike="noStrike">
                    <a:solidFill>
                      <a:sysClr val="windowText" lastClr="000000"/>
                    </a:solidFill>
                    <a:latin typeface="ＭＳ ゴシック"/>
                    <a:ea typeface="ＭＳ ゴシック"/>
                  </a:rPr>
                  <a:pPr algn="ctr"/>
                  <a:t>令和５年度</a:t>
                </a:fld>
                <a:endParaRPr kumimoji="1" lang="en-US" altLang="ja-JP" sz="900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</xdr:txBody>
          </xdr:sp>
        </xdr:grpSp>
      </xdr:grp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/>
        </xdr:nvSpPr>
        <xdr:spPr>
          <a:xfrm>
            <a:off x="59531" y="10191750"/>
            <a:ext cx="4726781" cy="5595937"/>
          </a:xfrm>
          <a:prstGeom prst="rect">
            <a:avLst/>
          </a:prstGeom>
          <a:noFill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</xdr:col>
      <xdr:colOff>226220</xdr:colOff>
      <xdr:row>70</xdr:row>
      <xdr:rowOff>166687</xdr:rowOff>
    </xdr:from>
    <xdr:to>
      <xdr:col>4</xdr:col>
      <xdr:colOff>59532</xdr:colOff>
      <xdr:row>71</xdr:row>
      <xdr:rowOff>178594</xdr:rowOff>
    </xdr:to>
    <xdr:sp macro="" textlink="地域分析BD!R134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3940970" y="14097000"/>
          <a:ext cx="690562" cy="226219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/>
        <a:lstStyle/>
        <a:p>
          <a:pPr algn="ctr"/>
          <a:fld id="{E69A73E2-226A-40D0-A6C9-DEC87D1B091E}" type="TxLink">
            <a:rPr kumimoji="1" lang="ja-JP" altLang="en-US" sz="1000" b="0" i="0" u="none" strike="noStrike">
              <a:solidFill>
                <a:schemeClr val="tx1"/>
              </a:solidFill>
              <a:latin typeface="ＭＳ ゴシック"/>
              <a:ea typeface="ＭＳ ゴシック"/>
            </a:rPr>
            <a:pPr algn="ctr"/>
            <a:t>那　　覇</a:t>
          </a:fld>
          <a:endParaRPr kumimoji="1" lang="en-US" altLang="ja-JP" sz="1000" b="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57978</xdr:colOff>
      <xdr:row>79</xdr:row>
      <xdr:rowOff>6350</xdr:rowOff>
    </xdr:from>
    <xdr:to>
      <xdr:col>10</xdr:col>
      <xdr:colOff>654797</xdr:colOff>
      <xdr:row>94</xdr:row>
      <xdr:rowOff>133350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E35FA509-E936-48AC-8EBD-BC0E57023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676"/>
  <sheetViews>
    <sheetView showGridLines="0" view="pageBreakPreview" zoomScale="70" zoomScaleNormal="90" zoomScaleSheetLayoutView="70" workbookViewId="0">
      <pane xSplit="2" ySplit="3" topLeftCell="I640" activePane="bottomRight" state="frozen"/>
      <selection activeCell="T665" sqref="T665"/>
      <selection pane="topRight" activeCell="T665" sqref="T665"/>
      <selection pane="bottomLeft" activeCell="T665" sqref="T665"/>
      <selection pane="bottomRight" activeCell="T665" sqref="T665"/>
    </sheetView>
  </sheetViews>
  <sheetFormatPr defaultColWidth="9" defaultRowHeight="15.75" customHeight="1"/>
  <cols>
    <col min="1" max="1" width="3.75" style="24" customWidth="1"/>
    <col min="2" max="2" width="11.25" style="24" customWidth="1"/>
    <col min="3" max="28" width="12.5" style="24" customWidth="1"/>
    <col min="29" max="16384" width="9" style="24"/>
  </cols>
  <sheetData>
    <row r="1" spans="1:28" ht="15.75" customHeight="1">
      <c r="A1" s="83" t="str">
        <f ca="1">RIGHT(CELL("filename",A1),LEN(CELL("filename",A1))-FIND("]",CELL("filename",A1)))</f>
        <v>経済活動別〔統計表〕</v>
      </c>
      <c r="Z1" s="82"/>
      <c r="AA1" s="82"/>
      <c r="AB1" s="82"/>
    </row>
    <row r="2" spans="1:28" ht="13.5" customHeight="1">
      <c r="A2" s="49">
        <v>23</v>
      </c>
      <c r="B2" s="50" t="str">
        <f>IF(A2&lt;22,"令和"&amp;A2&amp;"年度","平成"&amp;A2&amp;"年度")</f>
        <v>平成23年度</v>
      </c>
      <c r="C2" s="4" t="s">
        <v>268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"/>
      <c r="Y2" s="2"/>
      <c r="Z2" s="2"/>
      <c r="AA2" s="2"/>
      <c r="AB2" s="2"/>
    </row>
    <row r="3" spans="1:28" ht="45" customHeight="1">
      <c r="A3" s="75"/>
      <c r="B3" s="76"/>
      <c r="C3" s="77" t="s">
        <v>51</v>
      </c>
      <c r="D3" s="77" t="s">
        <v>52</v>
      </c>
      <c r="E3" s="77" t="s">
        <v>53</v>
      </c>
      <c r="F3" s="77" t="s">
        <v>54</v>
      </c>
      <c r="G3" s="77" t="s">
        <v>55</v>
      </c>
      <c r="H3" s="77" t="s">
        <v>56</v>
      </c>
      <c r="I3" s="77" t="s">
        <v>57</v>
      </c>
      <c r="J3" s="77" t="s">
        <v>58</v>
      </c>
      <c r="K3" s="77" t="s">
        <v>59</v>
      </c>
      <c r="L3" s="77" t="s">
        <v>60</v>
      </c>
      <c r="M3" s="77" t="s">
        <v>61</v>
      </c>
      <c r="N3" s="77" t="s">
        <v>62</v>
      </c>
      <c r="O3" s="77" t="s">
        <v>63</v>
      </c>
      <c r="P3" s="77" t="s">
        <v>64</v>
      </c>
      <c r="Q3" s="77" t="s">
        <v>65</v>
      </c>
      <c r="R3" s="77" t="s">
        <v>66</v>
      </c>
      <c r="S3" s="77" t="s">
        <v>67</v>
      </c>
      <c r="T3" s="77" t="s">
        <v>68</v>
      </c>
      <c r="U3" s="77" t="s">
        <v>70</v>
      </c>
      <c r="V3" s="78" t="s">
        <v>69</v>
      </c>
      <c r="W3" s="79" t="s">
        <v>71</v>
      </c>
      <c r="X3" s="77" t="s">
        <v>72</v>
      </c>
      <c r="Y3" s="77" t="s">
        <v>73</v>
      </c>
      <c r="Z3" s="78" t="s">
        <v>74</v>
      </c>
      <c r="AA3" s="264" t="s">
        <v>277</v>
      </c>
      <c r="AB3" s="269" t="s">
        <v>278</v>
      </c>
    </row>
    <row r="4" spans="1:28" ht="13.5" customHeight="1">
      <c r="A4" s="153" t="s">
        <v>160</v>
      </c>
      <c r="B4" s="22" t="s">
        <v>0</v>
      </c>
      <c r="C4" s="243">
        <v>44995</v>
      </c>
      <c r="D4" s="244">
        <v>315</v>
      </c>
      <c r="E4" s="244">
        <v>7380</v>
      </c>
      <c r="F4" s="244">
        <v>3211</v>
      </c>
      <c r="G4" s="244">
        <v>204545</v>
      </c>
      <c r="H4" s="244">
        <v>141969</v>
      </c>
      <c r="I4" s="244">
        <v>254969</v>
      </c>
      <c r="J4" s="244">
        <v>379415</v>
      </c>
      <c r="K4" s="244">
        <v>239710</v>
      </c>
      <c r="L4" s="244">
        <v>158687</v>
      </c>
      <c r="M4" s="244">
        <v>176104</v>
      </c>
      <c r="N4" s="244">
        <v>143940</v>
      </c>
      <c r="O4" s="244">
        <v>457911</v>
      </c>
      <c r="P4" s="244">
        <v>327730</v>
      </c>
      <c r="Q4" s="244">
        <v>372693</v>
      </c>
      <c r="R4" s="244">
        <v>215220</v>
      </c>
      <c r="S4" s="244">
        <v>408636</v>
      </c>
      <c r="T4" s="244">
        <v>221834</v>
      </c>
      <c r="U4" s="244">
        <v>3759264</v>
      </c>
      <c r="V4" s="245">
        <v>4019</v>
      </c>
      <c r="W4" s="246">
        <v>3763283</v>
      </c>
      <c r="X4" s="244">
        <v>52690</v>
      </c>
      <c r="Y4" s="244">
        <v>462725</v>
      </c>
      <c r="Z4" s="244">
        <v>3243849</v>
      </c>
      <c r="AA4" s="265">
        <v>5911</v>
      </c>
      <c r="AB4" s="270">
        <v>3866896</v>
      </c>
    </row>
    <row r="5" spans="1:28" ht="13.5" customHeight="1">
      <c r="A5" s="16" t="s">
        <v>1</v>
      </c>
      <c r="B5" s="17" t="s">
        <v>2</v>
      </c>
      <c r="C5" s="247">
        <v>321</v>
      </c>
      <c r="D5" s="248">
        <v>23</v>
      </c>
      <c r="E5" s="248">
        <v>1442</v>
      </c>
      <c r="F5" s="248">
        <v>179</v>
      </c>
      <c r="G5" s="248">
        <v>14203</v>
      </c>
      <c r="H5" s="248">
        <v>24902</v>
      </c>
      <c r="I5" s="248">
        <v>46042</v>
      </c>
      <c r="J5" s="248">
        <v>116127</v>
      </c>
      <c r="K5" s="248">
        <v>142559</v>
      </c>
      <c r="L5" s="248">
        <v>51644</v>
      </c>
      <c r="M5" s="248">
        <v>116084</v>
      </c>
      <c r="N5" s="248">
        <v>92335</v>
      </c>
      <c r="O5" s="248">
        <v>127434</v>
      </c>
      <c r="P5" s="248">
        <v>137031</v>
      </c>
      <c r="Q5" s="248">
        <v>177200</v>
      </c>
      <c r="R5" s="248">
        <v>39271</v>
      </c>
      <c r="S5" s="248">
        <v>88544</v>
      </c>
      <c r="T5" s="248">
        <v>59583</v>
      </c>
      <c r="U5" s="248">
        <v>1234924</v>
      </c>
      <c r="V5" s="249">
        <v>1320</v>
      </c>
      <c r="W5" s="250">
        <v>1236244</v>
      </c>
      <c r="X5" s="248">
        <v>1786</v>
      </c>
      <c r="Y5" s="248">
        <v>60424</v>
      </c>
      <c r="Z5" s="248">
        <v>1172714</v>
      </c>
      <c r="AA5" s="266">
        <v>7346</v>
      </c>
      <c r="AB5" s="271">
        <v>1255434.55728229</v>
      </c>
    </row>
    <row r="6" spans="1:28" ht="13.5" customHeight="1">
      <c r="A6" s="18" t="s">
        <v>3</v>
      </c>
      <c r="B6" s="19" t="s">
        <v>4</v>
      </c>
      <c r="C6" s="251">
        <v>105</v>
      </c>
      <c r="D6" s="252">
        <v>0</v>
      </c>
      <c r="E6" s="252">
        <v>125</v>
      </c>
      <c r="F6" s="252">
        <v>350</v>
      </c>
      <c r="G6" s="252">
        <v>9169</v>
      </c>
      <c r="H6" s="252">
        <v>5920</v>
      </c>
      <c r="I6" s="252">
        <v>18359</v>
      </c>
      <c r="J6" s="252">
        <v>21281</v>
      </c>
      <c r="K6" s="252">
        <v>5028</v>
      </c>
      <c r="L6" s="252">
        <v>7610</v>
      </c>
      <c r="M6" s="252">
        <v>6917</v>
      </c>
      <c r="N6" s="252">
        <v>4525</v>
      </c>
      <c r="O6" s="252">
        <v>31311</v>
      </c>
      <c r="P6" s="252">
        <v>18030</v>
      </c>
      <c r="Q6" s="252">
        <v>8750</v>
      </c>
      <c r="R6" s="252">
        <v>12186</v>
      </c>
      <c r="S6" s="252">
        <v>17739</v>
      </c>
      <c r="T6" s="252">
        <v>13356</v>
      </c>
      <c r="U6" s="252">
        <v>180761</v>
      </c>
      <c r="V6" s="253">
        <v>194</v>
      </c>
      <c r="W6" s="254">
        <v>180955</v>
      </c>
      <c r="X6" s="252">
        <v>230</v>
      </c>
      <c r="Y6" s="252">
        <v>27878</v>
      </c>
      <c r="Z6" s="252">
        <v>152653</v>
      </c>
      <c r="AA6" s="267">
        <v>5579</v>
      </c>
      <c r="AB6" s="272">
        <v>184456.14270204777</v>
      </c>
    </row>
    <row r="7" spans="1:28" ht="13.5" customHeight="1">
      <c r="A7" s="18" t="s">
        <v>5</v>
      </c>
      <c r="B7" s="19" t="s">
        <v>6</v>
      </c>
      <c r="C7" s="251">
        <v>4419</v>
      </c>
      <c r="D7" s="252">
        <v>22</v>
      </c>
      <c r="E7" s="252">
        <v>424</v>
      </c>
      <c r="F7" s="252">
        <v>254</v>
      </c>
      <c r="G7" s="252">
        <v>5429</v>
      </c>
      <c r="H7" s="252">
        <v>5643</v>
      </c>
      <c r="I7" s="252">
        <v>13467</v>
      </c>
      <c r="J7" s="252">
        <v>11027</v>
      </c>
      <c r="K7" s="252">
        <v>11466</v>
      </c>
      <c r="L7" s="252">
        <v>10310</v>
      </c>
      <c r="M7" s="252">
        <v>1051</v>
      </c>
      <c r="N7" s="252">
        <v>2744</v>
      </c>
      <c r="O7" s="252">
        <v>16108</v>
      </c>
      <c r="P7" s="252">
        <v>12555</v>
      </c>
      <c r="Q7" s="252">
        <v>15383</v>
      </c>
      <c r="R7" s="252">
        <v>9559</v>
      </c>
      <c r="S7" s="252">
        <v>12429</v>
      </c>
      <c r="T7" s="252">
        <v>6731</v>
      </c>
      <c r="U7" s="252">
        <v>139021</v>
      </c>
      <c r="V7" s="253">
        <v>149</v>
      </c>
      <c r="W7" s="254">
        <v>139170</v>
      </c>
      <c r="X7" s="252">
        <v>4865</v>
      </c>
      <c r="Y7" s="252">
        <v>19150</v>
      </c>
      <c r="Z7" s="252">
        <v>115006</v>
      </c>
      <c r="AA7" s="267">
        <v>5720</v>
      </c>
      <c r="AB7" s="272">
        <v>144547.74535511306</v>
      </c>
    </row>
    <row r="8" spans="1:28" ht="13.5" customHeight="1">
      <c r="A8" s="18" t="s">
        <v>7</v>
      </c>
      <c r="B8" s="19" t="s">
        <v>8</v>
      </c>
      <c r="C8" s="251">
        <v>31</v>
      </c>
      <c r="D8" s="252">
        <v>2</v>
      </c>
      <c r="E8" s="252">
        <v>184</v>
      </c>
      <c r="F8" s="252">
        <v>150</v>
      </c>
      <c r="G8" s="252">
        <v>17402</v>
      </c>
      <c r="H8" s="252">
        <v>21612</v>
      </c>
      <c r="I8" s="252">
        <v>12936</v>
      </c>
      <c r="J8" s="252">
        <v>75797</v>
      </c>
      <c r="K8" s="252">
        <v>15853</v>
      </c>
      <c r="L8" s="252">
        <v>7829</v>
      </c>
      <c r="M8" s="252">
        <v>30451</v>
      </c>
      <c r="N8" s="252">
        <v>9470</v>
      </c>
      <c r="O8" s="252">
        <v>35184</v>
      </c>
      <c r="P8" s="252">
        <v>35109</v>
      </c>
      <c r="Q8" s="252">
        <v>13656</v>
      </c>
      <c r="R8" s="252">
        <v>16918</v>
      </c>
      <c r="S8" s="252">
        <v>35694</v>
      </c>
      <c r="T8" s="252">
        <v>16360</v>
      </c>
      <c r="U8" s="252">
        <v>344638</v>
      </c>
      <c r="V8" s="253">
        <v>369</v>
      </c>
      <c r="W8" s="254">
        <v>345007</v>
      </c>
      <c r="X8" s="252">
        <v>217</v>
      </c>
      <c r="Y8" s="252">
        <v>30488</v>
      </c>
      <c r="Z8" s="252">
        <v>313933</v>
      </c>
      <c r="AA8" s="267">
        <v>6260</v>
      </c>
      <c r="AB8" s="272">
        <v>354033.12285283289</v>
      </c>
    </row>
    <row r="9" spans="1:28" ht="13.5" customHeight="1">
      <c r="A9" s="16" t="s">
        <v>9</v>
      </c>
      <c r="B9" s="17" t="s">
        <v>10</v>
      </c>
      <c r="C9" s="251">
        <v>3219</v>
      </c>
      <c r="D9" s="252">
        <v>79</v>
      </c>
      <c r="E9" s="252">
        <v>352</v>
      </c>
      <c r="F9" s="252">
        <v>531</v>
      </c>
      <c r="G9" s="252">
        <v>17400</v>
      </c>
      <c r="H9" s="252">
        <v>5287</v>
      </c>
      <c r="I9" s="252">
        <v>10378</v>
      </c>
      <c r="J9" s="252">
        <v>13824</v>
      </c>
      <c r="K9" s="252">
        <v>4275</v>
      </c>
      <c r="L9" s="252">
        <v>9251</v>
      </c>
      <c r="M9" s="252">
        <v>1348</v>
      </c>
      <c r="N9" s="252">
        <v>4801</v>
      </c>
      <c r="O9" s="252">
        <v>17962</v>
      </c>
      <c r="P9" s="252">
        <v>11441</v>
      </c>
      <c r="Q9" s="252">
        <v>12089</v>
      </c>
      <c r="R9" s="252">
        <v>14068</v>
      </c>
      <c r="S9" s="252">
        <v>25741</v>
      </c>
      <c r="T9" s="252">
        <v>9054</v>
      </c>
      <c r="U9" s="252">
        <v>161100</v>
      </c>
      <c r="V9" s="253">
        <v>172</v>
      </c>
      <c r="W9" s="254">
        <v>161272</v>
      </c>
      <c r="X9" s="252">
        <v>3650</v>
      </c>
      <c r="Y9" s="252">
        <v>28309</v>
      </c>
      <c r="Z9" s="252">
        <v>129141</v>
      </c>
      <c r="AA9" s="267">
        <v>5361</v>
      </c>
      <c r="AB9" s="272">
        <v>164175.29980864486</v>
      </c>
    </row>
    <row r="10" spans="1:28" ht="13.5" customHeight="1">
      <c r="A10" s="18" t="s">
        <v>11</v>
      </c>
      <c r="B10" s="19" t="s">
        <v>12</v>
      </c>
      <c r="C10" s="251">
        <v>3310</v>
      </c>
      <c r="D10" s="252">
        <v>2</v>
      </c>
      <c r="E10" s="252">
        <v>346</v>
      </c>
      <c r="F10" s="252">
        <v>340</v>
      </c>
      <c r="G10" s="252">
        <v>20578</v>
      </c>
      <c r="H10" s="252">
        <v>3383</v>
      </c>
      <c r="I10" s="252">
        <v>7479</v>
      </c>
      <c r="J10" s="252">
        <v>10529</v>
      </c>
      <c r="K10" s="252">
        <v>5238</v>
      </c>
      <c r="L10" s="252">
        <v>3821</v>
      </c>
      <c r="M10" s="252">
        <v>562</v>
      </c>
      <c r="N10" s="252">
        <v>1602</v>
      </c>
      <c r="O10" s="252">
        <v>15929</v>
      </c>
      <c r="P10" s="252">
        <v>4162</v>
      </c>
      <c r="Q10" s="252">
        <v>8118</v>
      </c>
      <c r="R10" s="252">
        <v>7595</v>
      </c>
      <c r="S10" s="252">
        <v>17743</v>
      </c>
      <c r="T10" s="252">
        <v>8821</v>
      </c>
      <c r="U10" s="252">
        <v>119558</v>
      </c>
      <c r="V10" s="253">
        <v>127</v>
      </c>
      <c r="W10" s="254">
        <v>119685</v>
      </c>
      <c r="X10" s="252">
        <v>3658</v>
      </c>
      <c r="Y10" s="252">
        <v>28397</v>
      </c>
      <c r="Z10" s="252">
        <v>87503</v>
      </c>
      <c r="AA10" s="267">
        <v>4719</v>
      </c>
      <c r="AB10" s="272">
        <v>122030.14776797972</v>
      </c>
    </row>
    <row r="11" spans="1:28" ht="13.5" customHeight="1">
      <c r="A11" s="18" t="s">
        <v>13</v>
      </c>
      <c r="B11" s="19" t="s">
        <v>14</v>
      </c>
      <c r="C11" s="251">
        <v>1350</v>
      </c>
      <c r="D11" s="252">
        <v>3</v>
      </c>
      <c r="E11" s="252">
        <v>239</v>
      </c>
      <c r="F11" s="252">
        <v>127</v>
      </c>
      <c r="G11" s="252">
        <v>8102</v>
      </c>
      <c r="H11" s="252">
        <v>8566</v>
      </c>
      <c r="I11" s="252">
        <v>15258</v>
      </c>
      <c r="J11" s="252">
        <v>22357</v>
      </c>
      <c r="K11" s="252">
        <v>8069</v>
      </c>
      <c r="L11" s="252">
        <v>13505</v>
      </c>
      <c r="M11" s="252">
        <v>1676</v>
      </c>
      <c r="N11" s="252">
        <v>9761</v>
      </c>
      <c r="O11" s="252">
        <v>42987</v>
      </c>
      <c r="P11" s="252">
        <v>26371</v>
      </c>
      <c r="Q11" s="252">
        <v>26603</v>
      </c>
      <c r="R11" s="252">
        <v>19383</v>
      </c>
      <c r="S11" s="252">
        <v>46899</v>
      </c>
      <c r="T11" s="252">
        <v>20199</v>
      </c>
      <c r="U11" s="252">
        <v>271455</v>
      </c>
      <c r="V11" s="253">
        <v>290</v>
      </c>
      <c r="W11" s="254">
        <v>271745</v>
      </c>
      <c r="X11" s="252">
        <v>1592</v>
      </c>
      <c r="Y11" s="252">
        <v>23487</v>
      </c>
      <c r="Z11" s="252">
        <v>246376</v>
      </c>
      <c r="AA11" s="267">
        <v>5335</v>
      </c>
      <c r="AB11" s="272">
        <v>276123.59926385182</v>
      </c>
    </row>
    <row r="12" spans="1:28" ht="13.5" customHeight="1">
      <c r="A12" s="18" t="s">
        <v>15</v>
      </c>
      <c r="B12" s="19" t="s">
        <v>45</v>
      </c>
      <c r="C12" s="251">
        <v>1284</v>
      </c>
      <c r="D12" s="252">
        <v>3</v>
      </c>
      <c r="E12" s="252">
        <v>241</v>
      </c>
      <c r="F12" s="252">
        <v>36</v>
      </c>
      <c r="G12" s="252">
        <v>4088</v>
      </c>
      <c r="H12" s="252">
        <v>2964</v>
      </c>
      <c r="I12" s="252">
        <v>11525</v>
      </c>
      <c r="J12" s="252">
        <v>13325</v>
      </c>
      <c r="K12" s="252">
        <v>8119</v>
      </c>
      <c r="L12" s="252">
        <v>2619</v>
      </c>
      <c r="M12" s="252">
        <v>5814</v>
      </c>
      <c r="N12" s="252">
        <v>1696</v>
      </c>
      <c r="O12" s="252">
        <v>17047</v>
      </c>
      <c r="P12" s="252">
        <v>13072</v>
      </c>
      <c r="Q12" s="252">
        <v>5878</v>
      </c>
      <c r="R12" s="252">
        <v>6271</v>
      </c>
      <c r="S12" s="252">
        <v>20369</v>
      </c>
      <c r="T12" s="252">
        <v>6458</v>
      </c>
      <c r="U12" s="252">
        <v>120809</v>
      </c>
      <c r="V12" s="253">
        <v>129</v>
      </c>
      <c r="W12" s="254">
        <v>120938</v>
      </c>
      <c r="X12" s="252">
        <v>1528</v>
      </c>
      <c r="Y12" s="252">
        <v>15649</v>
      </c>
      <c r="Z12" s="252">
        <v>103632</v>
      </c>
      <c r="AA12" s="267">
        <v>5813</v>
      </c>
      <c r="AB12" s="272">
        <v>124264.77970165352</v>
      </c>
    </row>
    <row r="13" spans="1:28" ht="13.5" customHeight="1">
      <c r="A13" s="18" t="s">
        <v>16</v>
      </c>
      <c r="B13" s="19" t="s">
        <v>46</v>
      </c>
      <c r="C13" s="251">
        <v>2320</v>
      </c>
      <c r="D13" s="252">
        <v>2</v>
      </c>
      <c r="E13" s="252">
        <v>421</v>
      </c>
      <c r="F13" s="252">
        <v>176</v>
      </c>
      <c r="G13" s="252">
        <v>20033</v>
      </c>
      <c r="H13" s="252">
        <v>23507</v>
      </c>
      <c r="I13" s="252">
        <v>18662</v>
      </c>
      <c r="J13" s="252">
        <v>20172</v>
      </c>
      <c r="K13" s="252">
        <v>7622</v>
      </c>
      <c r="L13" s="252">
        <v>6518</v>
      </c>
      <c r="M13" s="252">
        <v>3016</v>
      </c>
      <c r="N13" s="252">
        <v>4069</v>
      </c>
      <c r="O13" s="252">
        <v>33890</v>
      </c>
      <c r="P13" s="252">
        <v>16664</v>
      </c>
      <c r="Q13" s="252">
        <v>20740</v>
      </c>
      <c r="R13" s="252">
        <v>14127</v>
      </c>
      <c r="S13" s="252">
        <v>26969</v>
      </c>
      <c r="T13" s="252">
        <v>14750</v>
      </c>
      <c r="U13" s="252">
        <v>233658</v>
      </c>
      <c r="V13" s="253">
        <v>250</v>
      </c>
      <c r="W13" s="254">
        <v>233908</v>
      </c>
      <c r="X13" s="252">
        <v>2743</v>
      </c>
      <c r="Y13" s="252">
        <v>38871</v>
      </c>
      <c r="Z13" s="252">
        <v>192044</v>
      </c>
      <c r="AA13" s="267">
        <v>5741</v>
      </c>
      <c r="AB13" s="272">
        <v>244746.20994501017</v>
      </c>
    </row>
    <row r="14" spans="1:28" ht="13.5" customHeight="1">
      <c r="A14" s="18">
        <v>10</v>
      </c>
      <c r="B14" s="19" t="s">
        <v>47</v>
      </c>
      <c r="C14" s="251">
        <v>5814</v>
      </c>
      <c r="D14" s="252">
        <v>40</v>
      </c>
      <c r="E14" s="252">
        <v>495</v>
      </c>
      <c r="F14" s="252">
        <v>111</v>
      </c>
      <c r="G14" s="252">
        <v>7766</v>
      </c>
      <c r="H14" s="252">
        <v>5900</v>
      </c>
      <c r="I14" s="252">
        <v>15852</v>
      </c>
      <c r="J14" s="252">
        <v>15819</v>
      </c>
      <c r="K14" s="252">
        <v>7298</v>
      </c>
      <c r="L14" s="252">
        <v>6459</v>
      </c>
      <c r="M14" s="252">
        <v>1599</v>
      </c>
      <c r="N14" s="252">
        <v>2532</v>
      </c>
      <c r="O14" s="252">
        <v>14664</v>
      </c>
      <c r="P14" s="252">
        <v>9552</v>
      </c>
      <c r="Q14" s="252">
        <v>18560</v>
      </c>
      <c r="R14" s="252">
        <v>10132</v>
      </c>
      <c r="S14" s="252">
        <v>16942</v>
      </c>
      <c r="T14" s="252">
        <v>6601</v>
      </c>
      <c r="U14" s="252">
        <v>146136</v>
      </c>
      <c r="V14" s="253">
        <v>156</v>
      </c>
      <c r="W14" s="254">
        <v>146292</v>
      </c>
      <c r="X14" s="252">
        <v>6349</v>
      </c>
      <c r="Y14" s="252">
        <v>23729</v>
      </c>
      <c r="Z14" s="252">
        <v>116058</v>
      </c>
      <c r="AA14" s="267">
        <v>5435</v>
      </c>
      <c r="AB14" s="272">
        <v>151181.08864205476</v>
      </c>
    </row>
    <row r="15" spans="1:28" ht="13.5" customHeight="1">
      <c r="A15" s="20">
        <v>11</v>
      </c>
      <c r="B15" s="21" t="s">
        <v>48</v>
      </c>
      <c r="C15" s="255">
        <v>2824</v>
      </c>
      <c r="D15" s="256">
        <v>0</v>
      </c>
      <c r="E15" s="256">
        <v>450</v>
      </c>
      <c r="F15" s="256">
        <v>101</v>
      </c>
      <c r="G15" s="256">
        <v>11216</v>
      </c>
      <c r="H15" s="256">
        <v>2012</v>
      </c>
      <c r="I15" s="256">
        <v>6453</v>
      </c>
      <c r="J15" s="256">
        <v>3650</v>
      </c>
      <c r="K15" s="256">
        <v>2089</v>
      </c>
      <c r="L15" s="256">
        <v>1367</v>
      </c>
      <c r="M15" s="256">
        <v>23</v>
      </c>
      <c r="N15" s="256">
        <v>396</v>
      </c>
      <c r="O15" s="256">
        <v>10265</v>
      </c>
      <c r="P15" s="256">
        <v>1589</v>
      </c>
      <c r="Q15" s="256">
        <v>9125</v>
      </c>
      <c r="R15" s="256">
        <v>3184</v>
      </c>
      <c r="S15" s="256">
        <v>6580</v>
      </c>
      <c r="T15" s="256">
        <v>4233</v>
      </c>
      <c r="U15" s="256">
        <v>65557</v>
      </c>
      <c r="V15" s="257">
        <v>70</v>
      </c>
      <c r="W15" s="258">
        <v>65627</v>
      </c>
      <c r="X15" s="256">
        <v>3274</v>
      </c>
      <c r="Y15" s="256">
        <v>17770</v>
      </c>
      <c r="Z15" s="256">
        <v>44513</v>
      </c>
      <c r="AA15" s="268">
        <v>4466</v>
      </c>
      <c r="AB15" s="273">
        <v>67333.545353803042</v>
      </c>
    </row>
    <row r="16" spans="1:28" ht="13.5" customHeight="1">
      <c r="A16" s="18">
        <v>12</v>
      </c>
      <c r="B16" s="19" t="s">
        <v>17</v>
      </c>
      <c r="C16" s="247">
        <v>1773</v>
      </c>
      <c r="D16" s="248">
        <v>77</v>
      </c>
      <c r="E16" s="248">
        <v>45</v>
      </c>
      <c r="F16" s="248">
        <v>29</v>
      </c>
      <c r="G16" s="248">
        <v>502</v>
      </c>
      <c r="H16" s="248">
        <v>364</v>
      </c>
      <c r="I16" s="248">
        <v>2592</v>
      </c>
      <c r="J16" s="248">
        <v>421</v>
      </c>
      <c r="K16" s="248">
        <v>292</v>
      </c>
      <c r="L16" s="248">
        <v>1177</v>
      </c>
      <c r="M16" s="248">
        <v>1</v>
      </c>
      <c r="N16" s="248">
        <v>161</v>
      </c>
      <c r="O16" s="248">
        <v>1190</v>
      </c>
      <c r="P16" s="248">
        <v>85</v>
      </c>
      <c r="Q16" s="248">
        <v>1641</v>
      </c>
      <c r="R16" s="248">
        <v>987</v>
      </c>
      <c r="S16" s="248">
        <v>824</v>
      </c>
      <c r="T16" s="248">
        <v>468</v>
      </c>
      <c r="U16" s="248">
        <v>12629</v>
      </c>
      <c r="V16" s="249">
        <v>13</v>
      </c>
      <c r="W16" s="250">
        <v>12642</v>
      </c>
      <c r="X16" s="248">
        <v>1895</v>
      </c>
      <c r="Y16" s="248">
        <v>3123</v>
      </c>
      <c r="Z16" s="248">
        <v>7611</v>
      </c>
      <c r="AA16" s="266">
        <v>4473</v>
      </c>
      <c r="AB16" s="271">
        <v>13182.404915539861</v>
      </c>
    </row>
    <row r="17" spans="1:28" ht="13.5" customHeight="1">
      <c r="A17" s="18">
        <v>13</v>
      </c>
      <c r="B17" s="19" t="s">
        <v>18</v>
      </c>
      <c r="C17" s="251">
        <v>1200</v>
      </c>
      <c r="D17" s="252">
        <v>10</v>
      </c>
      <c r="E17" s="252">
        <v>10</v>
      </c>
      <c r="F17" s="252">
        <v>0</v>
      </c>
      <c r="G17" s="252">
        <v>146</v>
      </c>
      <c r="H17" s="252">
        <v>153</v>
      </c>
      <c r="I17" s="252">
        <v>564</v>
      </c>
      <c r="J17" s="252">
        <v>167</v>
      </c>
      <c r="K17" s="252">
        <v>303</v>
      </c>
      <c r="L17" s="252">
        <v>79</v>
      </c>
      <c r="M17" s="252">
        <v>0</v>
      </c>
      <c r="N17" s="252">
        <v>5</v>
      </c>
      <c r="O17" s="252">
        <v>774</v>
      </c>
      <c r="P17" s="252">
        <v>159</v>
      </c>
      <c r="Q17" s="252">
        <v>842</v>
      </c>
      <c r="R17" s="252">
        <v>855</v>
      </c>
      <c r="S17" s="252">
        <v>753</v>
      </c>
      <c r="T17" s="252">
        <v>297</v>
      </c>
      <c r="U17" s="252">
        <v>6317</v>
      </c>
      <c r="V17" s="253">
        <v>7</v>
      </c>
      <c r="W17" s="254">
        <v>6324</v>
      </c>
      <c r="X17" s="252">
        <v>1220</v>
      </c>
      <c r="Y17" s="252">
        <v>710</v>
      </c>
      <c r="Z17" s="252">
        <v>4387</v>
      </c>
      <c r="AA17" s="267">
        <v>4003</v>
      </c>
      <c r="AB17" s="272">
        <v>6659.0356135445845</v>
      </c>
    </row>
    <row r="18" spans="1:28" ht="13.5" customHeight="1">
      <c r="A18" s="18">
        <v>14</v>
      </c>
      <c r="B18" s="19" t="s">
        <v>19</v>
      </c>
      <c r="C18" s="251">
        <v>859</v>
      </c>
      <c r="D18" s="252">
        <v>3</v>
      </c>
      <c r="E18" s="252">
        <v>22</v>
      </c>
      <c r="F18" s="252">
        <v>0</v>
      </c>
      <c r="G18" s="252">
        <v>207</v>
      </c>
      <c r="H18" s="252">
        <v>51</v>
      </c>
      <c r="I18" s="252">
        <v>959</v>
      </c>
      <c r="J18" s="252">
        <v>94</v>
      </c>
      <c r="K18" s="252">
        <v>66</v>
      </c>
      <c r="L18" s="252">
        <v>118</v>
      </c>
      <c r="M18" s="252">
        <v>0</v>
      </c>
      <c r="N18" s="252">
        <v>14</v>
      </c>
      <c r="O18" s="252">
        <v>370</v>
      </c>
      <c r="P18" s="252">
        <v>584</v>
      </c>
      <c r="Q18" s="252">
        <v>698</v>
      </c>
      <c r="R18" s="252">
        <v>727</v>
      </c>
      <c r="S18" s="252">
        <v>189</v>
      </c>
      <c r="T18" s="252">
        <v>277</v>
      </c>
      <c r="U18" s="252">
        <v>5238</v>
      </c>
      <c r="V18" s="253">
        <v>5</v>
      </c>
      <c r="W18" s="254">
        <v>5243</v>
      </c>
      <c r="X18" s="252">
        <v>884</v>
      </c>
      <c r="Y18" s="252">
        <v>1166</v>
      </c>
      <c r="Z18" s="252">
        <v>3188</v>
      </c>
      <c r="AA18" s="267">
        <v>4366</v>
      </c>
      <c r="AB18" s="272">
        <v>5503.0836520257935</v>
      </c>
    </row>
    <row r="19" spans="1:28" ht="13.5" customHeight="1">
      <c r="A19" s="18">
        <v>15</v>
      </c>
      <c r="B19" s="19" t="s">
        <v>20</v>
      </c>
      <c r="C19" s="251">
        <v>1613</v>
      </c>
      <c r="D19" s="252">
        <v>7</v>
      </c>
      <c r="E19" s="252">
        <v>61</v>
      </c>
      <c r="F19" s="252">
        <v>0</v>
      </c>
      <c r="G19" s="252">
        <v>1233</v>
      </c>
      <c r="H19" s="252">
        <v>366</v>
      </c>
      <c r="I19" s="252">
        <v>2149</v>
      </c>
      <c r="J19" s="252">
        <v>551</v>
      </c>
      <c r="K19" s="252">
        <v>490</v>
      </c>
      <c r="L19" s="252">
        <v>823</v>
      </c>
      <c r="M19" s="252">
        <v>46</v>
      </c>
      <c r="N19" s="252">
        <v>91</v>
      </c>
      <c r="O19" s="252">
        <v>1857</v>
      </c>
      <c r="P19" s="252">
        <v>766</v>
      </c>
      <c r="Q19" s="252">
        <v>1242</v>
      </c>
      <c r="R19" s="252">
        <v>1288</v>
      </c>
      <c r="S19" s="252">
        <v>1915</v>
      </c>
      <c r="T19" s="252">
        <v>1148</v>
      </c>
      <c r="U19" s="252">
        <v>15646</v>
      </c>
      <c r="V19" s="253">
        <v>17</v>
      </c>
      <c r="W19" s="254">
        <v>15663</v>
      </c>
      <c r="X19" s="252">
        <v>1681</v>
      </c>
      <c r="Y19" s="252">
        <v>3382</v>
      </c>
      <c r="Z19" s="252">
        <v>10583</v>
      </c>
      <c r="AA19" s="267">
        <v>3797</v>
      </c>
      <c r="AB19" s="272">
        <v>16239.625765329349</v>
      </c>
    </row>
    <row r="20" spans="1:28" ht="13.5" customHeight="1">
      <c r="A20" s="18">
        <v>16</v>
      </c>
      <c r="B20" s="19" t="s">
        <v>21</v>
      </c>
      <c r="C20" s="251">
        <v>1062</v>
      </c>
      <c r="D20" s="252">
        <v>3</v>
      </c>
      <c r="E20" s="252">
        <v>519</v>
      </c>
      <c r="F20" s="252">
        <v>347</v>
      </c>
      <c r="G20" s="252">
        <v>2157</v>
      </c>
      <c r="H20" s="252">
        <v>989</v>
      </c>
      <c r="I20" s="252">
        <v>5269</v>
      </c>
      <c r="J20" s="252">
        <v>1490</v>
      </c>
      <c r="K20" s="252">
        <v>1072</v>
      </c>
      <c r="L20" s="252">
        <v>2675</v>
      </c>
      <c r="M20" s="252">
        <v>0</v>
      </c>
      <c r="N20" s="252">
        <v>497</v>
      </c>
      <c r="O20" s="252">
        <v>3657</v>
      </c>
      <c r="P20" s="252">
        <v>1148</v>
      </c>
      <c r="Q20" s="252">
        <v>2227</v>
      </c>
      <c r="R20" s="252">
        <v>2019</v>
      </c>
      <c r="S20" s="252">
        <v>5424</v>
      </c>
      <c r="T20" s="252">
        <v>4969</v>
      </c>
      <c r="U20" s="252">
        <v>35524</v>
      </c>
      <c r="V20" s="253">
        <v>38</v>
      </c>
      <c r="W20" s="254">
        <v>35562</v>
      </c>
      <c r="X20" s="252">
        <v>1584</v>
      </c>
      <c r="Y20" s="252">
        <v>7773</v>
      </c>
      <c r="Z20" s="252">
        <v>26167</v>
      </c>
      <c r="AA20" s="267">
        <v>4709</v>
      </c>
      <c r="AB20" s="272">
        <v>36878.445688581029</v>
      </c>
    </row>
    <row r="21" spans="1:28" ht="13.5" customHeight="1">
      <c r="A21" s="18">
        <v>17</v>
      </c>
      <c r="B21" s="19" t="s">
        <v>22</v>
      </c>
      <c r="C21" s="251">
        <v>756</v>
      </c>
      <c r="D21" s="252">
        <v>14</v>
      </c>
      <c r="E21" s="252">
        <v>198</v>
      </c>
      <c r="F21" s="252">
        <v>39</v>
      </c>
      <c r="G21" s="252">
        <v>724</v>
      </c>
      <c r="H21" s="252">
        <v>551</v>
      </c>
      <c r="I21" s="252">
        <v>4427</v>
      </c>
      <c r="J21" s="252">
        <v>1387</v>
      </c>
      <c r="K21" s="252">
        <v>799</v>
      </c>
      <c r="L21" s="252">
        <v>7863</v>
      </c>
      <c r="M21" s="252">
        <v>83</v>
      </c>
      <c r="N21" s="252">
        <v>124</v>
      </c>
      <c r="O21" s="252">
        <v>4258</v>
      </c>
      <c r="P21" s="252">
        <v>10797</v>
      </c>
      <c r="Q21" s="252">
        <v>3230</v>
      </c>
      <c r="R21" s="252">
        <v>3708</v>
      </c>
      <c r="S21" s="252">
        <v>1340</v>
      </c>
      <c r="T21" s="252">
        <v>4445</v>
      </c>
      <c r="U21" s="252">
        <v>44743</v>
      </c>
      <c r="V21" s="253">
        <v>48</v>
      </c>
      <c r="W21" s="254">
        <v>44791</v>
      </c>
      <c r="X21" s="252">
        <v>968</v>
      </c>
      <c r="Y21" s="252">
        <v>5190</v>
      </c>
      <c r="Z21" s="252">
        <v>38585</v>
      </c>
      <c r="AA21" s="267">
        <v>5331</v>
      </c>
      <c r="AB21" s="272">
        <v>46188.660725183363</v>
      </c>
    </row>
    <row r="22" spans="1:28" ht="13.5" customHeight="1">
      <c r="A22" s="18">
        <v>18</v>
      </c>
      <c r="B22" s="19" t="s">
        <v>23</v>
      </c>
      <c r="C22" s="251">
        <v>789</v>
      </c>
      <c r="D22" s="252">
        <v>0</v>
      </c>
      <c r="E22" s="252">
        <v>139</v>
      </c>
      <c r="F22" s="252">
        <v>13</v>
      </c>
      <c r="G22" s="252">
        <v>175</v>
      </c>
      <c r="H22" s="252">
        <v>213</v>
      </c>
      <c r="I22" s="252">
        <v>1542</v>
      </c>
      <c r="J22" s="252">
        <v>388</v>
      </c>
      <c r="K22" s="252">
        <v>1010</v>
      </c>
      <c r="L22" s="252">
        <v>305</v>
      </c>
      <c r="M22" s="252">
        <v>571</v>
      </c>
      <c r="N22" s="252">
        <v>28</v>
      </c>
      <c r="O22" s="252">
        <v>1444</v>
      </c>
      <c r="P22" s="252">
        <v>1195</v>
      </c>
      <c r="Q22" s="252">
        <v>1460</v>
      </c>
      <c r="R22" s="252">
        <v>1109</v>
      </c>
      <c r="S22" s="252">
        <v>1728</v>
      </c>
      <c r="T22" s="252">
        <v>802</v>
      </c>
      <c r="U22" s="252">
        <v>12911</v>
      </c>
      <c r="V22" s="253">
        <v>14</v>
      </c>
      <c r="W22" s="254">
        <v>12925</v>
      </c>
      <c r="X22" s="252">
        <v>928</v>
      </c>
      <c r="Y22" s="252">
        <v>1730</v>
      </c>
      <c r="Z22" s="252">
        <v>10253</v>
      </c>
      <c r="AA22" s="267">
        <v>4807</v>
      </c>
      <c r="AB22" s="272">
        <v>13353.056416379601</v>
      </c>
    </row>
    <row r="23" spans="1:28" ht="13.5" customHeight="1">
      <c r="A23" s="18">
        <v>19</v>
      </c>
      <c r="B23" s="19" t="s">
        <v>24</v>
      </c>
      <c r="C23" s="251">
        <v>787</v>
      </c>
      <c r="D23" s="252">
        <v>0</v>
      </c>
      <c r="E23" s="252">
        <v>59</v>
      </c>
      <c r="F23" s="252">
        <v>13</v>
      </c>
      <c r="G23" s="252">
        <v>998</v>
      </c>
      <c r="H23" s="252">
        <v>11256</v>
      </c>
      <c r="I23" s="252">
        <v>6037</v>
      </c>
      <c r="J23" s="252">
        <v>933</v>
      </c>
      <c r="K23" s="252">
        <v>1498</v>
      </c>
      <c r="L23" s="252">
        <v>1093</v>
      </c>
      <c r="M23" s="252">
        <v>86</v>
      </c>
      <c r="N23" s="252">
        <v>281</v>
      </c>
      <c r="O23" s="252">
        <v>3406</v>
      </c>
      <c r="P23" s="252">
        <v>476</v>
      </c>
      <c r="Q23" s="252">
        <v>1780</v>
      </c>
      <c r="R23" s="252">
        <v>1355</v>
      </c>
      <c r="S23" s="252">
        <v>4107</v>
      </c>
      <c r="T23" s="252">
        <v>1159</v>
      </c>
      <c r="U23" s="252">
        <v>35324</v>
      </c>
      <c r="V23" s="253">
        <v>38</v>
      </c>
      <c r="W23" s="254">
        <v>35362</v>
      </c>
      <c r="X23" s="252">
        <v>846</v>
      </c>
      <c r="Y23" s="252">
        <v>7048</v>
      </c>
      <c r="Z23" s="252">
        <v>27430</v>
      </c>
      <c r="AA23" s="267">
        <v>6677</v>
      </c>
      <c r="AB23" s="272">
        <v>41406.278598862467</v>
      </c>
    </row>
    <row r="24" spans="1:28" ht="13.5" customHeight="1">
      <c r="A24" s="20">
        <v>20</v>
      </c>
      <c r="B24" s="21" t="s">
        <v>25</v>
      </c>
      <c r="C24" s="255">
        <v>1386</v>
      </c>
      <c r="D24" s="256">
        <v>0</v>
      </c>
      <c r="E24" s="256">
        <v>161</v>
      </c>
      <c r="F24" s="256">
        <v>0</v>
      </c>
      <c r="G24" s="256">
        <v>544</v>
      </c>
      <c r="H24" s="256">
        <v>290</v>
      </c>
      <c r="I24" s="256">
        <v>2821</v>
      </c>
      <c r="J24" s="256">
        <v>562</v>
      </c>
      <c r="K24" s="256">
        <v>471</v>
      </c>
      <c r="L24" s="256">
        <v>590</v>
      </c>
      <c r="M24" s="256">
        <v>31</v>
      </c>
      <c r="N24" s="256">
        <v>39</v>
      </c>
      <c r="O24" s="256">
        <v>1102</v>
      </c>
      <c r="P24" s="256">
        <v>361</v>
      </c>
      <c r="Q24" s="256">
        <v>1235</v>
      </c>
      <c r="R24" s="256">
        <v>558</v>
      </c>
      <c r="S24" s="256">
        <v>716</v>
      </c>
      <c r="T24" s="256">
        <v>675</v>
      </c>
      <c r="U24" s="256">
        <v>11542</v>
      </c>
      <c r="V24" s="257">
        <v>12</v>
      </c>
      <c r="W24" s="258">
        <v>11554</v>
      </c>
      <c r="X24" s="256">
        <v>1547</v>
      </c>
      <c r="Y24" s="256">
        <v>3365</v>
      </c>
      <c r="Z24" s="256">
        <v>6630</v>
      </c>
      <c r="AA24" s="268">
        <v>4412</v>
      </c>
      <c r="AB24" s="273">
        <v>12099.983281028515</v>
      </c>
    </row>
    <row r="25" spans="1:28" ht="13.5" customHeight="1">
      <c r="A25" s="18">
        <v>21</v>
      </c>
      <c r="B25" s="19" t="s">
        <v>26</v>
      </c>
      <c r="C25" s="247">
        <v>858</v>
      </c>
      <c r="D25" s="248">
        <v>3</v>
      </c>
      <c r="E25" s="248">
        <v>75</v>
      </c>
      <c r="F25" s="248">
        <v>88</v>
      </c>
      <c r="G25" s="248">
        <v>4136</v>
      </c>
      <c r="H25" s="248">
        <v>1707</v>
      </c>
      <c r="I25" s="248">
        <v>4161</v>
      </c>
      <c r="J25" s="248">
        <v>3250</v>
      </c>
      <c r="K25" s="248">
        <v>720</v>
      </c>
      <c r="L25" s="248">
        <v>2665</v>
      </c>
      <c r="M25" s="248">
        <v>22</v>
      </c>
      <c r="N25" s="248">
        <v>626</v>
      </c>
      <c r="O25" s="248">
        <v>13110</v>
      </c>
      <c r="P25" s="248">
        <v>1986</v>
      </c>
      <c r="Q25" s="248">
        <v>2811</v>
      </c>
      <c r="R25" s="248">
        <v>3780</v>
      </c>
      <c r="S25" s="248">
        <v>3783</v>
      </c>
      <c r="T25" s="248">
        <v>5907</v>
      </c>
      <c r="U25" s="248">
        <v>49688</v>
      </c>
      <c r="V25" s="249">
        <v>53</v>
      </c>
      <c r="W25" s="250">
        <v>49741</v>
      </c>
      <c r="X25" s="248">
        <v>936</v>
      </c>
      <c r="Y25" s="248">
        <v>8385</v>
      </c>
      <c r="Z25" s="248">
        <v>40367</v>
      </c>
      <c r="AA25" s="266">
        <v>4265</v>
      </c>
      <c r="AB25" s="271">
        <v>50739.190012099702</v>
      </c>
    </row>
    <row r="26" spans="1:28" ht="13.5" customHeight="1">
      <c r="A26" s="18">
        <v>22</v>
      </c>
      <c r="B26" s="19" t="s">
        <v>27</v>
      </c>
      <c r="C26" s="251">
        <v>34</v>
      </c>
      <c r="D26" s="252">
        <v>0</v>
      </c>
      <c r="E26" s="252">
        <v>3</v>
      </c>
      <c r="F26" s="252">
        <v>10</v>
      </c>
      <c r="G26" s="252">
        <v>743</v>
      </c>
      <c r="H26" s="252">
        <v>753</v>
      </c>
      <c r="I26" s="252">
        <v>1130</v>
      </c>
      <c r="J26" s="252">
        <v>1654</v>
      </c>
      <c r="K26" s="252">
        <v>500</v>
      </c>
      <c r="L26" s="252">
        <v>1003</v>
      </c>
      <c r="M26" s="252">
        <v>769</v>
      </c>
      <c r="N26" s="252">
        <v>1086</v>
      </c>
      <c r="O26" s="252">
        <v>3947</v>
      </c>
      <c r="P26" s="252">
        <v>3407</v>
      </c>
      <c r="Q26" s="252">
        <v>9393</v>
      </c>
      <c r="R26" s="252">
        <v>1715</v>
      </c>
      <c r="S26" s="252">
        <v>3571</v>
      </c>
      <c r="T26" s="252">
        <v>1712</v>
      </c>
      <c r="U26" s="252">
        <v>31430</v>
      </c>
      <c r="V26" s="253">
        <v>34</v>
      </c>
      <c r="W26" s="254">
        <v>31464</v>
      </c>
      <c r="X26" s="252">
        <v>37</v>
      </c>
      <c r="Y26" s="252">
        <v>1883</v>
      </c>
      <c r="Z26" s="252">
        <v>29510</v>
      </c>
      <c r="AA26" s="267">
        <v>4057</v>
      </c>
      <c r="AB26" s="272">
        <v>31886.572703291575</v>
      </c>
    </row>
    <row r="27" spans="1:28" ht="13.5" customHeight="1">
      <c r="A27" s="18">
        <v>23</v>
      </c>
      <c r="B27" s="19" t="s">
        <v>28</v>
      </c>
      <c r="C27" s="251">
        <v>2</v>
      </c>
      <c r="D27" s="252">
        <v>1</v>
      </c>
      <c r="E27" s="252">
        <v>51</v>
      </c>
      <c r="F27" s="252">
        <v>3</v>
      </c>
      <c r="G27" s="252">
        <v>595</v>
      </c>
      <c r="H27" s="252">
        <v>3287</v>
      </c>
      <c r="I27" s="252">
        <v>6089</v>
      </c>
      <c r="J27" s="252">
        <v>7300</v>
      </c>
      <c r="K27" s="252">
        <v>663</v>
      </c>
      <c r="L27" s="252">
        <v>4936</v>
      </c>
      <c r="M27" s="252">
        <v>3927</v>
      </c>
      <c r="N27" s="252">
        <v>2032</v>
      </c>
      <c r="O27" s="252">
        <v>13790</v>
      </c>
      <c r="P27" s="252">
        <v>5850</v>
      </c>
      <c r="Q27" s="252">
        <v>2813</v>
      </c>
      <c r="R27" s="252">
        <v>2777</v>
      </c>
      <c r="S27" s="252">
        <v>4319</v>
      </c>
      <c r="T27" s="252">
        <v>7109</v>
      </c>
      <c r="U27" s="252">
        <v>65544</v>
      </c>
      <c r="V27" s="253">
        <v>70</v>
      </c>
      <c r="W27" s="254">
        <v>65614</v>
      </c>
      <c r="X27" s="252">
        <v>54</v>
      </c>
      <c r="Y27" s="252">
        <v>6687</v>
      </c>
      <c r="Z27" s="252">
        <v>58803</v>
      </c>
      <c r="AA27" s="267">
        <v>5168</v>
      </c>
      <c r="AB27" s="272">
        <v>66889.625503370757</v>
      </c>
    </row>
    <row r="28" spans="1:28" ht="13.5" customHeight="1">
      <c r="A28" s="18">
        <v>24</v>
      </c>
      <c r="B28" s="19" t="s">
        <v>29</v>
      </c>
      <c r="C28" s="251">
        <v>33</v>
      </c>
      <c r="D28" s="252">
        <v>0</v>
      </c>
      <c r="E28" s="252">
        <v>55</v>
      </c>
      <c r="F28" s="252">
        <v>10</v>
      </c>
      <c r="G28" s="252">
        <v>254</v>
      </c>
      <c r="H28" s="252">
        <v>633</v>
      </c>
      <c r="I28" s="252">
        <v>1977</v>
      </c>
      <c r="J28" s="252">
        <v>2177</v>
      </c>
      <c r="K28" s="252">
        <v>789</v>
      </c>
      <c r="L28" s="252">
        <v>1439</v>
      </c>
      <c r="M28" s="252">
        <v>393</v>
      </c>
      <c r="N28" s="252">
        <v>517</v>
      </c>
      <c r="O28" s="252">
        <v>5578</v>
      </c>
      <c r="P28" s="252">
        <v>1627</v>
      </c>
      <c r="Q28" s="252">
        <v>1478</v>
      </c>
      <c r="R28" s="252">
        <v>2742</v>
      </c>
      <c r="S28" s="252">
        <v>5491</v>
      </c>
      <c r="T28" s="252">
        <v>1694</v>
      </c>
      <c r="U28" s="252">
        <v>26887</v>
      </c>
      <c r="V28" s="253">
        <v>29</v>
      </c>
      <c r="W28" s="254">
        <v>26916</v>
      </c>
      <c r="X28" s="252">
        <v>88</v>
      </c>
      <c r="Y28" s="252">
        <v>2241</v>
      </c>
      <c r="Z28" s="252">
        <v>24558</v>
      </c>
      <c r="AA28" s="267">
        <v>4585</v>
      </c>
      <c r="AB28" s="272">
        <v>27395.930324275443</v>
      </c>
    </row>
    <row r="29" spans="1:28" ht="13.5" customHeight="1">
      <c r="A29" s="18">
        <v>25</v>
      </c>
      <c r="B29" s="19" t="s">
        <v>30</v>
      </c>
      <c r="C29" s="251">
        <v>312</v>
      </c>
      <c r="D29" s="252">
        <v>0</v>
      </c>
      <c r="E29" s="252">
        <v>11</v>
      </c>
      <c r="F29" s="252">
        <v>161</v>
      </c>
      <c r="G29" s="252">
        <v>6216</v>
      </c>
      <c r="H29" s="252">
        <v>1033</v>
      </c>
      <c r="I29" s="252">
        <v>4485</v>
      </c>
      <c r="J29" s="252">
        <v>2717</v>
      </c>
      <c r="K29" s="252">
        <v>818</v>
      </c>
      <c r="L29" s="252">
        <v>505</v>
      </c>
      <c r="M29" s="252">
        <v>783</v>
      </c>
      <c r="N29" s="252">
        <v>243</v>
      </c>
      <c r="O29" s="252">
        <v>5807</v>
      </c>
      <c r="P29" s="252">
        <v>1513</v>
      </c>
      <c r="Q29" s="252">
        <v>1469</v>
      </c>
      <c r="R29" s="252">
        <v>1351</v>
      </c>
      <c r="S29" s="252">
        <v>8232</v>
      </c>
      <c r="T29" s="252">
        <v>2891</v>
      </c>
      <c r="U29" s="252">
        <v>38547</v>
      </c>
      <c r="V29" s="253">
        <v>41</v>
      </c>
      <c r="W29" s="254">
        <v>38588</v>
      </c>
      <c r="X29" s="252">
        <v>323</v>
      </c>
      <c r="Y29" s="252">
        <v>10862</v>
      </c>
      <c r="Z29" s="252">
        <v>27362</v>
      </c>
      <c r="AA29" s="267">
        <v>5443</v>
      </c>
      <c r="AB29" s="272">
        <v>43310.57773487462</v>
      </c>
    </row>
    <row r="30" spans="1:28" ht="13.5" customHeight="1">
      <c r="A30" s="20">
        <v>26</v>
      </c>
      <c r="B30" s="21" t="s">
        <v>31</v>
      </c>
      <c r="C30" s="255">
        <v>193</v>
      </c>
      <c r="D30" s="256">
        <v>0</v>
      </c>
      <c r="E30" s="256">
        <v>55</v>
      </c>
      <c r="F30" s="256">
        <v>31</v>
      </c>
      <c r="G30" s="256">
        <v>38596</v>
      </c>
      <c r="H30" s="256">
        <v>3632</v>
      </c>
      <c r="I30" s="256">
        <v>5721</v>
      </c>
      <c r="J30" s="256">
        <v>12380</v>
      </c>
      <c r="K30" s="256">
        <v>3941</v>
      </c>
      <c r="L30" s="256">
        <v>2018</v>
      </c>
      <c r="M30" s="256">
        <v>343</v>
      </c>
      <c r="N30" s="256">
        <v>917</v>
      </c>
      <c r="O30" s="256">
        <v>9544</v>
      </c>
      <c r="P30" s="256">
        <v>3914</v>
      </c>
      <c r="Q30" s="256">
        <v>2559</v>
      </c>
      <c r="R30" s="256">
        <v>18498</v>
      </c>
      <c r="S30" s="256">
        <v>14149</v>
      </c>
      <c r="T30" s="256">
        <v>5157</v>
      </c>
      <c r="U30" s="256">
        <v>121648</v>
      </c>
      <c r="V30" s="257">
        <v>130</v>
      </c>
      <c r="W30" s="258">
        <v>121778</v>
      </c>
      <c r="X30" s="256">
        <v>248</v>
      </c>
      <c r="Y30" s="256">
        <v>44348</v>
      </c>
      <c r="Z30" s="256">
        <v>77052</v>
      </c>
      <c r="AA30" s="268">
        <v>6145</v>
      </c>
      <c r="AB30" s="273">
        <v>124058.472681917</v>
      </c>
    </row>
    <row r="31" spans="1:28" ht="13.5" customHeight="1">
      <c r="A31" s="18">
        <v>27</v>
      </c>
      <c r="B31" s="19" t="s">
        <v>32</v>
      </c>
      <c r="C31" s="247">
        <v>163</v>
      </c>
      <c r="D31" s="248">
        <v>0</v>
      </c>
      <c r="E31" s="248">
        <v>116</v>
      </c>
      <c r="F31" s="248">
        <v>0</v>
      </c>
      <c r="G31" s="248">
        <v>663</v>
      </c>
      <c r="H31" s="248">
        <v>657</v>
      </c>
      <c r="I31" s="248">
        <v>4560</v>
      </c>
      <c r="J31" s="248">
        <v>3808</v>
      </c>
      <c r="K31" s="248">
        <v>692</v>
      </c>
      <c r="L31" s="248">
        <v>1426</v>
      </c>
      <c r="M31" s="248">
        <v>165</v>
      </c>
      <c r="N31" s="248">
        <v>1563</v>
      </c>
      <c r="O31" s="248">
        <v>5051</v>
      </c>
      <c r="P31" s="248">
        <v>1184</v>
      </c>
      <c r="Q31" s="248">
        <v>2795</v>
      </c>
      <c r="R31" s="248">
        <v>2373</v>
      </c>
      <c r="S31" s="248">
        <v>5349</v>
      </c>
      <c r="T31" s="248">
        <v>1679</v>
      </c>
      <c r="U31" s="248">
        <v>32244</v>
      </c>
      <c r="V31" s="249">
        <v>34</v>
      </c>
      <c r="W31" s="250">
        <v>32278</v>
      </c>
      <c r="X31" s="248">
        <v>279</v>
      </c>
      <c r="Y31" s="248">
        <v>5223</v>
      </c>
      <c r="Z31" s="248">
        <v>26742</v>
      </c>
      <c r="AA31" s="266">
        <v>5440</v>
      </c>
      <c r="AB31" s="271">
        <v>32642.415013677131</v>
      </c>
    </row>
    <row r="32" spans="1:28" ht="13.5" customHeight="1">
      <c r="A32" s="18">
        <v>28</v>
      </c>
      <c r="B32" s="19" t="s">
        <v>33</v>
      </c>
      <c r="C32" s="251">
        <v>740</v>
      </c>
      <c r="D32" s="252">
        <v>14</v>
      </c>
      <c r="E32" s="252">
        <v>0</v>
      </c>
      <c r="F32" s="252">
        <v>13</v>
      </c>
      <c r="G32" s="252">
        <v>4059</v>
      </c>
      <c r="H32" s="252">
        <v>2064</v>
      </c>
      <c r="I32" s="252">
        <v>6795</v>
      </c>
      <c r="J32" s="252">
        <v>11150</v>
      </c>
      <c r="K32" s="252">
        <v>2789</v>
      </c>
      <c r="L32" s="252">
        <v>2559</v>
      </c>
      <c r="M32" s="252">
        <v>284</v>
      </c>
      <c r="N32" s="252">
        <v>1170</v>
      </c>
      <c r="O32" s="252">
        <v>8310</v>
      </c>
      <c r="P32" s="252">
        <v>3107</v>
      </c>
      <c r="Q32" s="252">
        <v>2722</v>
      </c>
      <c r="R32" s="252">
        <v>4864</v>
      </c>
      <c r="S32" s="252">
        <v>20482</v>
      </c>
      <c r="T32" s="252">
        <v>7339</v>
      </c>
      <c r="U32" s="252">
        <v>78461</v>
      </c>
      <c r="V32" s="253">
        <v>84</v>
      </c>
      <c r="W32" s="254">
        <v>78545</v>
      </c>
      <c r="X32" s="252">
        <v>754</v>
      </c>
      <c r="Y32" s="252">
        <v>10867</v>
      </c>
      <c r="Z32" s="252">
        <v>66840</v>
      </c>
      <c r="AA32" s="267">
        <v>4771</v>
      </c>
      <c r="AB32" s="272">
        <v>79890.048262833647</v>
      </c>
    </row>
    <row r="33" spans="1:28" ht="13.5" customHeight="1">
      <c r="A33" s="18">
        <v>29</v>
      </c>
      <c r="B33" s="19" t="s">
        <v>34</v>
      </c>
      <c r="C33" s="251">
        <v>3</v>
      </c>
      <c r="D33" s="252">
        <v>1</v>
      </c>
      <c r="E33" s="252">
        <v>20</v>
      </c>
      <c r="F33" s="252">
        <v>0</v>
      </c>
      <c r="G33" s="252">
        <v>16</v>
      </c>
      <c r="H33" s="252">
        <v>208</v>
      </c>
      <c r="I33" s="252">
        <v>200</v>
      </c>
      <c r="J33" s="252">
        <v>34</v>
      </c>
      <c r="K33" s="252">
        <v>211</v>
      </c>
      <c r="L33" s="252">
        <v>450</v>
      </c>
      <c r="M33" s="252">
        <v>0</v>
      </c>
      <c r="N33" s="252">
        <v>6</v>
      </c>
      <c r="O33" s="252">
        <v>110</v>
      </c>
      <c r="P33" s="252">
        <v>45</v>
      </c>
      <c r="Q33" s="252">
        <v>368</v>
      </c>
      <c r="R33" s="252">
        <v>285</v>
      </c>
      <c r="S33" s="252">
        <v>84</v>
      </c>
      <c r="T33" s="252">
        <v>607</v>
      </c>
      <c r="U33" s="252">
        <v>2648</v>
      </c>
      <c r="V33" s="253">
        <v>2</v>
      </c>
      <c r="W33" s="254">
        <v>2650</v>
      </c>
      <c r="X33" s="252">
        <v>24</v>
      </c>
      <c r="Y33" s="252">
        <v>216</v>
      </c>
      <c r="Z33" s="252">
        <v>2408</v>
      </c>
      <c r="AA33" s="267">
        <v>4690</v>
      </c>
      <c r="AB33" s="272">
        <v>2792.7328470613716</v>
      </c>
    </row>
    <row r="34" spans="1:28" ht="13.5" customHeight="1">
      <c r="A34" s="18">
        <v>30</v>
      </c>
      <c r="B34" s="19" t="s">
        <v>35</v>
      </c>
      <c r="C34" s="251">
        <v>3</v>
      </c>
      <c r="D34" s="252">
        <v>0</v>
      </c>
      <c r="E34" s="252">
        <v>20</v>
      </c>
      <c r="F34" s="252">
        <v>0</v>
      </c>
      <c r="G34" s="252">
        <v>25</v>
      </c>
      <c r="H34" s="252">
        <v>175</v>
      </c>
      <c r="I34" s="252">
        <v>268</v>
      </c>
      <c r="J34" s="252">
        <v>78</v>
      </c>
      <c r="K34" s="252">
        <v>229</v>
      </c>
      <c r="L34" s="252">
        <v>623</v>
      </c>
      <c r="M34" s="252">
        <v>0</v>
      </c>
      <c r="N34" s="252">
        <v>11</v>
      </c>
      <c r="O34" s="252">
        <v>207</v>
      </c>
      <c r="P34" s="252">
        <v>161</v>
      </c>
      <c r="Q34" s="252">
        <v>383</v>
      </c>
      <c r="R34" s="252">
        <v>488</v>
      </c>
      <c r="S34" s="252">
        <v>177</v>
      </c>
      <c r="T34" s="252">
        <v>758</v>
      </c>
      <c r="U34" s="252">
        <v>3606</v>
      </c>
      <c r="V34" s="253">
        <v>4</v>
      </c>
      <c r="W34" s="254">
        <v>3610</v>
      </c>
      <c r="X34" s="252">
        <v>23</v>
      </c>
      <c r="Y34" s="252">
        <v>293</v>
      </c>
      <c r="Z34" s="252">
        <v>3290</v>
      </c>
      <c r="AA34" s="267">
        <v>6077</v>
      </c>
      <c r="AB34" s="272">
        <v>3739.3420431947839</v>
      </c>
    </row>
    <row r="35" spans="1:28" ht="13.5" customHeight="1">
      <c r="A35" s="18">
        <v>31</v>
      </c>
      <c r="B35" s="19" t="s">
        <v>36</v>
      </c>
      <c r="C35" s="251">
        <v>39</v>
      </c>
      <c r="D35" s="252">
        <v>0</v>
      </c>
      <c r="E35" s="252">
        <v>7</v>
      </c>
      <c r="F35" s="252">
        <v>13</v>
      </c>
      <c r="G35" s="252">
        <v>149</v>
      </c>
      <c r="H35" s="252">
        <v>64</v>
      </c>
      <c r="I35" s="252">
        <v>141</v>
      </c>
      <c r="J35" s="252">
        <v>22</v>
      </c>
      <c r="K35" s="252">
        <v>129</v>
      </c>
      <c r="L35" s="252">
        <v>89</v>
      </c>
      <c r="M35" s="252">
        <v>0</v>
      </c>
      <c r="N35" s="252">
        <v>6</v>
      </c>
      <c r="O35" s="252">
        <v>211</v>
      </c>
      <c r="P35" s="252">
        <v>5</v>
      </c>
      <c r="Q35" s="252">
        <v>420</v>
      </c>
      <c r="R35" s="252">
        <v>268</v>
      </c>
      <c r="S35" s="252">
        <v>188</v>
      </c>
      <c r="T35" s="252">
        <v>82</v>
      </c>
      <c r="U35" s="252">
        <v>1833</v>
      </c>
      <c r="V35" s="253">
        <v>2</v>
      </c>
      <c r="W35" s="254">
        <v>1835</v>
      </c>
      <c r="X35" s="252">
        <v>46</v>
      </c>
      <c r="Y35" s="252">
        <v>303</v>
      </c>
      <c r="Z35" s="252">
        <v>1484</v>
      </c>
      <c r="AA35" s="267">
        <v>4531</v>
      </c>
      <c r="AB35" s="272">
        <v>1900.1032267883684</v>
      </c>
    </row>
    <row r="36" spans="1:28" ht="13.5" customHeight="1">
      <c r="A36" s="18">
        <v>32</v>
      </c>
      <c r="B36" s="19" t="s">
        <v>37</v>
      </c>
      <c r="C36" s="251">
        <v>3</v>
      </c>
      <c r="D36" s="252">
        <v>0</v>
      </c>
      <c r="E36" s="252">
        <v>81</v>
      </c>
      <c r="F36" s="252">
        <v>0</v>
      </c>
      <c r="G36" s="252">
        <v>0</v>
      </c>
      <c r="H36" s="252">
        <v>47</v>
      </c>
      <c r="I36" s="252">
        <v>599</v>
      </c>
      <c r="J36" s="252">
        <v>14</v>
      </c>
      <c r="K36" s="252">
        <v>30</v>
      </c>
      <c r="L36" s="252">
        <v>46</v>
      </c>
      <c r="M36" s="252">
        <v>0</v>
      </c>
      <c r="N36" s="252">
        <v>6</v>
      </c>
      <c r="O36" s="252">
        <v>67</v>
      </c>
      <c r="P36" s="252">
        <v>0</v>
      </c>
      <c r="Q36" s="252">
        <v>311</v>
      </c>
      <c r="R36" s="252">
        <v>193</v>
      </c>
      <c r="S36" s="252">
        <v>122</v>
      </c>
      <c r="T36" s="252">
        <v>16</v>
      </c>
      <c r="U36" s="252">
        <v>1535</v>
      </c>
      <c r="V36" s="253">
        <v>2</v>
      </c>
      <c r="W36" s="254">
        <v>1537</v>
      </c>
      <c r="X36" s="252">
        <v>84</v>
      </c>
      <c r="Y36" s="252">
        <v>599</v>
      </c>
      <c r="Z36" s="252">
        <v>852</v>
      </c>
      <c r="AA36" s="267">
        <v>5529</v>
      </c>
      <c r="AB36" s="272">
        <v>1598.4031385520811</v>
      </c>
    </row>
    <row r="37" spans="1:28" ht="13.5" customHeight="1">
      <c r="A37" s="18">
        <v>33</v>
      </c>
      <c r="B37" s="19" t="s">
        <v>38</v>
      </c>
      <c r="C37" s="251">
        <v>870</v>
      </c>
      <c r="D37" s="252">
        <v>0</v>
      </c>
      <c r="E37" s="252">
        <v>27</v>
      </c>
      <c r="F37" s="252">
        <v>31</v>
      </c>
      <c r="G37" s="252">
        <v>1217</v>
      </c>
      <c r="H37" s="252">
        <v>235</v>
      </c>
      <c r="I37" s="252">
        <v>1216</v>
      </c>
      <c r="J37" s="252">
        <v>207</v>
      </c>
      <c r="K37" s="252">
        <v>90</v>
      </c>
      <c r="L37" s="252">
        <v>175</v>
      </c>
      <c r="M37" s="252">
        <v>0</v>
      </c>
      <c r="N37" s="252">
        <v>6</v>
      </c>
      <c r="O37" s="252">
        <v>121</v>
      </c>
      <c r="P37" s="252">
        <v>51</v>
      </c>
      <c r="Q37" s="252">
        <v>762</v>
      </c>
      <c r="R37" s="252">
        <v>301</v>
      </c>
      <c r="S37" s="252">
        <v>160</v>
      </c>
      <c r="T37" s="252">
        <v>175</v>
      </c>
      <c r="U37" s="252">
        <v>5644</v>
      </c>
      <c r="V37" s="253">
        <v>6</v>
      </c>
      <c r="W37" s="254">
        <v>5650</v>
      </c>
      <c r="X37" s="252">
        <v>897</v>
      </c>
      <c r="Y37" s="252">
        <v>2464</v>
      </c>
      <c r="Z37" s="252">
        <v>2283</v>
      </c>
      <c r="AA37" s="267">
        <v>5345</v>
      </c>
      <c r="AB37" s="272">
        <v>5939.2136581390241</v>
      </c>
    </row>
    <row r="38" spans="1:28" ht="13.5" customHeight="1">
      <c r="A38" s="18">
        <v>34</v>
      </c>
      <c r="B38" s="19" t="s">
        <v>39</v>
      </c>
      <c r="C38" s="251">
        <v>307</v>
      </c>
      <c r="D38" s="252">
        <v>0</v>
      </c>
      <c r="E38" s="252">
        <v>7</v>
      </c>
      <c r="F38" s="252">
        <v>0</v>
      </c>
      <c r="G38" s="252">
        <v>348</v>
      </c>
      <c r="H38" s="252">
        <v>80</v>
      </c>
      <c r="I38" s="252">
        <v>1697</v>
      </c>
      <c r="J38" s="252">
        <v>53</v>
      </c>
      <c r="K38" s="252">
        <v>106</v>
      </c>
      <c r="L38" s="252">
        <v>139</v>
      </c>
      <c r="M38" s="252">
        <v>0</v>
      </c>
      <c r="N38" s="252">
        <v>6</v>
      </c>
      <c r="O38" s="252">
        <v>29</v>
      </c>
      <c r="P38" s="252">
        <v>6</v>
      </c>
      <c r="Q38" s="252">
        <v>343</v>
      </c>
      <c r="R38" s="252">
        <v>250</v>
      </c>
      <c r="S38" s="252">
        <v>106</v>
      </c>
      <c r="T38" s="252">
        <v>49</v>
      </c>
      <c r="U38" s="252">
        <v>3526</v>
      </c>
      <c r="V38" s="253">
        <v>4</v>
      </c>
      <c r="W38" s="254">
        <v>3530</v>
      </c>
      <c r="X38" s="252">
        <v>314</v>
      </c>
      <c r="Y38" s="252">
        <v>2045</v>
      </c>
      <c r="Z38" s="252">
        <v>1167</v>
      </c>
      <c r="AA38" s="267">
        <v>6107</v>
      </c>
      <c r="AB38" s="272">
        <v>3691.8720386437535</v>
      </c>
    </row>
    <row r="39" spans="1:28" ht="13.5" customHeight="1">
      <c r="A39" s="18">
        <v>35</v>
      </c>
      <c r="B39" s="19" t="s">
        <v>40</v>
      </c>
      <c r="C39" s="251">
        <v>116</v>
      </c>
      <c r="D39" s="252">
        <v>1</v>
      </c>
      <c r="E39" s="252">
        <v>79</v>
      </c>
      <c r="F39" s="252">
        <v>0</v>
      </c>
      <c r="G39" s="252">
        <v>330</v>
      </c>
      <c r="H39" s="252">
        <v>115</v>
      </c>
      <c r="I39" s="252">
        <v>858</v>
      </c>
      <c r="J39" s="252">
        <v>173</v>
      </c>
      <c r="K39" s="252">
        <v>180</v>
      </c>
      <c r="L39" s="252">
        <v>104</v>
      </c>
      <c r="M39" s="252">
        <v>0</v>
      </c>
      <c r="N39" s="252">
        <v>6</v>
      </c>
      <c r="O39" s="252">
        <v>152</v>
      </c>
      <c r="P39" s="252">
        <v>108</v>
      </c>
      <c r="Q39" s="252">
        <v>545</v>
      </c>
      <c r="R39" s="252">
        <v>414</v>
      </c>
      <c r="S39" s="252">
        <v>157</v>
      </c>
      <c r="T39" s="252">
        <v>131</v>
      </c>
      <c r="U39" s="252">
        <v>3469</v>
      </c>
      <c r="V39" s="253">
        <v>4</v>
      </c>
      <c r="W39" s="254">
        <v>3473</v>
      </c>
      <c r="X39" s="252">
        <v>196</v>
      </c>
      <c r="Y39" s="252">
        <v>1188</v>
      </c>
      <c r="Z39" s="252">
        <v>2085</v>
      </c>
      <c r="AA39" s="267">
        <v>4905</v>
      </c>
      <c r="AB39" s="272">
        <v>3599.0973405420591</v>
      </c>
    </row>
    <row r="40" spans="1:28" ht="13.5" customHeight="1">
      <c r="A40" s="18">
        <v>36</v>
      </c>
      <c r="B40" s="19" t="s">
        <v>41</v>
      </c>
      <c r="C40" s="251">
        <v>378</v>
      </c>
      <c r="D40" s="252">
        <v>0</v>
      </c>
      <c r="E40" s="252">
        <v>93</v>
      </c>
      <c r="F40" s="252">
        <v>0</v>
      </c>
      <c r="G40" s="252">
        <v>211</v>
      </c>
      <c r="H40" s="252">
        <v>64</v>
      </c>
      <c r="I40" s="252">
        <v>621</v>
      </c>
      <c r="J40" s="252">
        <v>132</v>
      </c>
      <c r="K40" s="252">
        <v>367</v>
      </c>
      <c r="L40" s="252">
        <v>157</v>
      </c>
      <c r="M40" s="252">
        <v>0</v>
      </c>
      <c r="N40" s="252">
        <v>6</v>
      </c>
      <c r="O40" s="252">
        <v>292</v>
      </c>
      <c r="P40" s="252">
        <v>23</v>
      </c>
      <c r="Q40" s="252">
        <v>655</v>
      </c>
      <c r="R40" s="252">
        <v>329</v>
      </c>
      <c r="S40" s="252">
        <v>322</v>
      </c>
      <c r="T40" s="252">
        <v>168</v>
      </c>
      <c r="U40" s="252">
        <v>3818</v>
      </c>
      <c r="V40" s="253">
        <v>4</v>
      </c>
      <c r="W40" s="254">
        <v>3822</v>
      </c>
      <c r="X40" s="252">
        <v>471</v>
      </c>
      <c r="Y40" s="252">
        <v>832</v>
      </c>
      <c r="Z40" s="252">
        <v>2515</v>
      </c>
      <c r="AA40" s="267">
        <v>4481</v>
      </c>
      <c r="AB40" s="272">
        <v>4017.0345303765871</v>
      </c>
    </row>
    <row r="41" spans="1:28" ht="13.5" customHeight="1">
      <c r="A41" s="18">
        <v>37</v>
      </c>
      <c r="B41" s="19" t="s">
        <v>49</v>
      </c>
      <c r="C41" s="251">
        <v>1033</v>
      </c>
      <c r="D41" s="252">
        <v>0</v>
      </c>
      <c r="E41" s="252">
        <v>463</v>
      </c>
      <c r="F41" s="252">
        <v>13</v>
      </c>
      <c r="G41" s="252">
        <v>1157</v>
      </c>
      <c r="H41" s="252">
        <v>1152</v>
      </c>
      <c r="I41" s="252">
        <v>2358</v>
      </c>
      <c r="J41" s="252">
        <v>1078</v>
      </c>
      <c r="K41" s="252">
        <v>980</v>
      </c>
      <c r="L41" s="252">
        <v>1099</v>
      </c>
      <c r="M41" s="252">
        <v>0</v>
      </c>
      <c r="N41" s="252">
        <v>206</v>
      </c>
      <c r="O41" s="252">
        <v>1951</v>
      </c>
      <c r="P41" s="252">
        <v>706</v>
      </c>
      <c r="Q41" s="252">
        <v>3862</v>
      </c>
      <c r="R41" s="252">
        <v>1809</v>
      </c>
      <c r="S41" s="252">
        <v>1260</v>
      </c>
      <c r="T41" s="252">
        <v>995</v>
      </c>
      <c r="U41" s="252">
        <v>20122</v>
      </c>
      <c r="V41" s="253">
        <v>22</v>
      </c>
      <c r="W41" s="254">
        <v>20144</v>
      </c>
      <c r="X41" s="252">
        <v>1496</v>
      </c>
      <c r="Y41" s="252">
        <v>3528</v>
      </c>
      <c r="Z41" s="252">
        <v>15098</v>
      </c>
      <c r="AA41" s="267">
        <v>4235</v>
      </c>
      <c r="AB41" s="272">
        <v>20943.511008945155</v>
      </c>
    </row>
    <row r="42" spans="1:28" ht="13.5" customHeight="1">
      <c r="A42" s="20">
        <v>38</v>
      </c>
      <c r="B42" s="21" t="s">
        <v>50</v>
      </c>
      <c r="C42" s="255">
        <v>2905</v>
      </c>
      <c r="D42" s="256">
        <v>0</v>
      </c>
      <c r="E42" s="256">
        <v>139</v>
      </c>
      <c r="F42" s="256">
        <v>39</v>
      </c>
      <c r="G42" s="256">
        <v>1366</v>
      </c>
      <c r="H42" s="256">
        <v>1434</v>
      </c>
      <c r="I42" s="256">
        <v>5510</v>
      </c>
      <c r="J42" s="256">
        <v>2685</v>
      </c>
      <c r="K42" s="256">
        <v>1250</v>
      </c>
      <c r="L42" s="256">
        <v>621</v>
      </c>
      <c r="M42" s="256">
        <v>59</v>
      </c>
      <c r="N42" s="256">
        <v>282</v>
      </c>
      <c r="O42" s="256">
        <v>7142</v>
      </c>
      <c r="P42" s="256">
        <v>1865</v>
      </c>
      <c r="Q42" s="256">
        <v>6600</v>
      </c>
      <c r="R42" s="256">
        <v>4675</v>
      </c>
      <c r="S42" s="256">
        <v>7138</v>
      </c>
      <c r="T42" s="256">
        <v>2834</v>
      </c>
      <c r="U42" s="256">
        <v>46544</v>
      </c>
      <c r="V42" s="257">
        <v>50</v>
      </c>
      <c r="W42" s="258">
        <v>46594</v>
      </c>
      <c r="X42" s="256">
        <v>3044</v>
      </c>
      <c r="Y42" s="256">
        <v>6915</v>
      </c>
      <c r="Z42" s="256">
        <v>36585</v>
      </c>
      <c r="AA42" s="268">
        <v>5228</v>
      </c>
      <c r="AB42" s="273">
        <v>47767.242947371589</v>
      </c>
    </row>
    <row r="43" spans="1:28" ht="13.5" customHeight="1">
      <c r="A43" s="20">
        <v>39</v>
      </c>
      <c r="B43" s="21" t="s">
        <v>42</v>
      </c>
      <c r="C43" s="243">
        <v>533</v>
      </c>
      <c r="D43" s="244">
        <v>0</v>
      </c>
      <c r="E43" s="244">
        <v>3</v>
      </c>
      <c r="F43" s="244">
        <v>0</v>
      </c>
      <c r="G43" s="244">
        <v>977</v>
      </c>
      <c r="H43" s="244">
        <v>91</v>
      </c>
      <c r="I43" s="244">
        <v>393</v>
      </c>
      <c r="J43" s="244">
        <v>97</v>
      </c>
      <c r="K43" s="244">
        <v>131</v>
      </c>
      <c r="L43" s="244">
        <v>77</v>
      </c>
      <c r="M43" s="244">
        <v>0</v>
      </c>
      <c r="N43" s="244">
        <v>6</v>
      </c>
      <c r="O43" s="244">
        <v>237</v>
      </c>
      <c r="P43" s="244">
        <v>35</v>
      </c>
      <c r="Q43" s="244">
        <v>590</v>
      </c>
      <c r="R43" s="244">
        <v>310</v>
      </c>
      <c r="S43" s="244">
        <v>159</v>
      </c>
      <c r="T43" s="244">
        <v>99</v>
      </c>
      <c r="U43" s="244">
        <v>3738</v>
      </c>
      <c r="V43" s="245">
        <v>4</v>
      </c>
      <c r="W43" s="246">
        <v>3742</v>
      </c>
      <c r="X43" s="244">
        <v>536</v>
      </c>
      <c r="Y43" s="244">
        <v>1370</v>
      </c>
      <c r="Z43" s="244">
        <v>1832</v>
      </c>
      <c r="AA43" s="265">
        <v>5077</v>
      </c>
      <c r="AB43" s="270">
        <v>3912.7752856378261</v>
      </c>
    </row>
    <row r="44" spans="1:28" ht="13.5" customHeight="1">
      <c r="A44" s="18">
        <v>40</v>
      </c>
      <c r="B44" s="19" t="s">
        <v>43</v>
      </c>
      <c r="C44" s="247">
        <v>1018</v>
      </c>
      <c r="D44" s="248">
        <v>5</v>
      </c>
      <c r="E44" s="248">
        <v>29</v>
      </c>
      <c r="F44" s="248">
        <v>0</v>
      </c>
      <c r="G44" s="248">
        <v>886</v>
      </c>
      <c r="H44" s="248">
        <v>333</v>
      </c>
      <c r="I44" s="248">
        <v>2530</v>
      </c>
      <c r="J44" s="248">
        <v>332</v>
      </c>
      <c r="K44" s="248">
        <v>1080</v>
      </c>
      <c r="L44" s="248">
        <v>2547</v>
      </c>
      <c r="M44" s="248">
        <v>0</v>
      </c>
      <c r="N44" s="248">
        <v>56</v>
      </c>
      <c r="O44" s="248">
        <v>1062</v>
      </c>
      <c r="P44" s="248">
        <v>887</v>
      </c>
      <c r="Q44" s="248">
        <v>527</v>
      </c>
      <c r="R44" s="248">
        <v>1804</v>
      </c>
      <c r="S44" s="248">
        <v>388</v>
      </c>
      <c r="T44" s="248">
        <v>1719</v>
      </c>
      <c r="U44" s="248">
        <v>15203</v>
      </c>
      <c r="V44" s="249">
        <v>16</v>
      </c>
      <c r="W44" s="250">
        <v>15219</v>
      </c>
      <c r="X44" s="248">
        <v>1052</v>
      </c>
      <c r="Y44" s="248">
        <v>3416</v>
      </c>
      <c r="Z44" s="248">
        <v>10735</v>
      </c>
      <c r="AA44" s="266">
        <v>5651</v>
      </c>
      <c r="AB44" s="271">
        <v>15941.953168504491</v>
      </c>
    </row>
    <row r="45" spans="1:28" ht="13.5" customHeight="1">
      <c r="A45" s="20">
        <v>41</v>
      </c>
      <c r="B45" s="21" t="s">
        <v>44</v>
      </c>
      <c r="C45" s="255">
        <v>230</v>
      </c>
      <c r="D45" s="256">
        <v>0</v>
      </c>
      <c r="E45" s="256">
        <v>113</v>
      </c>
      <c r="F45" s="256">
        <v>3</v>
      </c>
      <c r="G45" s="256">
        <v>529</v>
      </c>
      <c r="H45" s="256">
        <v>276</v>
      </c>
      <c r="I45" s="256">
        <v>889</v>
      </c>
      <c r="J45" s="256">
        <v>173</v>
      </c>
      <c r="K45" s="256">
        <v>398</v>
      </c>
      <c r="L45" s="256">
        <v>353</v>
      </c>
      <c r="M45" s="256">
        <v>0</v>
      </c>
      <c r="N45" s="256">
        <v>12</v>
      </c>
      <c r="O45" s="256">
        <v>354</v>
      </c>
      <c r="P45" s="256">
        <v>103</v>
      </c>
      <c r="Q45" s="256">
        <v>830</v>
      </c>
      <c r="R45" s="256">
        <v>694</v>
      </c>
      <c r="S45" s="256">
        <v>354</v>
      </c>
      <c r="T45" s="256">
        <v>327</v>
      </c>
      <c r="U45" s="256">
        <v>5638</v>
      </c>
      <c r="V45" s="257">
        <v>6</v>
      </c>
      <c r="W45" s="258">
        <v>5644</v>
      </c>
      <c r="X45" s="256">
        <v>343</v>
      </c>
      <c r="Y45" s="256">
        <v>1421</v>
      </c>
      <c r="Z45" s="256">
        <v>3874</v>
      </c>
      <c r="AA45" s="268">
        <v>4444</v>
      </c>
      <c r="AB45" s="273">
        <v>5867.9940229652984</v>
      </c>
    </row>
    <row r="46" spans="1:28" ht="15.75" customHeight="1">
      <c r="A46" s="111" t="s">
        <v>146</v>
      </c>
      <c r="B46" s="7" t="s">
        <v>152</v>
      </c>
      <c r="C46" s="247">
        <v>13938</v>
      </c>
      <c r="D46" s="248">
        <v>194</v>
      </c>
      <c r="E46" s="248">
        <v>1738</v>
      </c>
      <c r="F46" s="248">
        <v>972</v>
      </c>
      <c r="G46" s="248">
        <v>24627</v>
      </c>
      <c r="H46" s="248">
        <v>19699</v>
      </c>
      <c r="I46" s="248">
        <v>38217</v>
      </c>
      <c r="J46" s="248">
        <v>20122</v>
      </c>
      <c r="K46" s="248">
        <v>10823</v>
      </c>
      <c r="L46" s="248">
        <v>24235</v>
      </c>
      <c r="M46" s="248">
        <v>2166</v>
      </c>
      <c r="N46" s="248">
        <v>6053</v>
      </c>
      <c r="O46" s="248">
        <v>36464</v>
      </c>
      <c r="P46" s="248">
        <v>27143</v>
      </c>
      <c r="Q46" s="248">
        <v>27644</v>
      </c>
      <c r="R46" s="248">
        <v>27417</v>
      </c>
      <c r="S46" s="248">
        <v>43216</v>
      </c>
      <c r="T46" s="248">
        <v>23593</v>
      </c>
      <c r="U46" s="248">
        <v>348261</v>
      </c>
      <c r="V46" s="249">
        <v>372</v>
      </c>
      <c r="W46" s="250">
        <v>348633</v>
      </c>
      <c r="X46" s="248">
        <v>15870</v>
      </c>
      <c r="Y46" s="248">
        <v>63816</v>
      </c>
      <c r="Z46" s="248">
        <v>268575</v>
      </c>
      <c r="AA46" s="266">
        <v>5132</v>
      </c>
      <c r="AB46" s="271">
        <v>362524.95352841902</v>
      </c>
    </row>
    <row r="47" spans="1:28" ht="15.75" customHeight="1">
      <c r="A47" s="112" t="s">
        <v>147</v>
      </c>
      <c r="B47" s="17" t="s">
        <v>153</v>
      </c>
      <c r="C47" s="251">
        <v>5238</v>
      </c>
      <c r="D47" s="252">
        <v>11</v>
      </c>
      <c r="E47" s="252">
        <v>1219</v>
      </c>
      <c r="F47" s="252">
        <v>1106</v>
      </c>
      <c r="G47" s="252">
        <v>105246</v>
      </c>
      <c r="H47" s="252">
        <v>70650</v>
      </c>
      <c r="I47" s="252">
        <v>88778</v>
      </c>
      <c r="J47" s="252">
        <v>169085</v>
      </c>
      <c r="K47" s="252">
        <v>44003</v>
      </c>
      <c r="L47" s="252">
        <v>48028</v>
      </c>
      <c r="M47" s="252">
        <v>48297</v>
      </c>
      <c r="N47" s="252">
        <v>33246</v>
      </c>
      <c r="O47" s="252">
        <v>195148</v>
      </c>
      <c r="P47" s="252">
        <v>114471</v>
      </c>
      <c r="Q47" s="252">
        <v>90272</v>
      </c>
      <c r="R47" s="252">
        <v>93477</v>
      </c>
      <c r="S47" s="252">
        <v>166846</v>
      </c>
      <c r="T47" s="252">
        <v>89135</v>
      </c>
      <c r="U47" s="252">
        <v>1364256</v>
      </c>
      <c r="V47" s="253">
        <v>1460</v>
      </c>
      <c r="W47" s="254">
        <v>1365716</v>
      </c>
      <c r="X47" s="252">
        <v>6468</v>
      </c>
      <c r="Y47" s="252">
        <v>195130</v>
      </c>
      <c r="Z47" s="252">
        <v>1162658</v>
      </c>
      <c r="AA47" s="267">
        <v>5594</v>
      </c>
      <c r="AB47" s="272">
        <v>1404740.3719884648</v>
      </c>
    </row>
    <row r="48" spans="1:28" ht="15.75" customHeight="1">
      <c r="A48" s="112" t="s">
        <v>148</v>
      </c>
      <c r="B48" s="17" t="s">
        <v>154</v>
      </c>
      <c r="C48" s="251">
        <v>13484</v>
      </c>
      <c r="D48" s="252">
        <v>20</v>
      </c>
      <c r="E48" s="252">
        <v>1917</v>
      </c>
      <c r="F48" s="252">
        <v>586</v>
      </c>
      <c r="G48" s="252">
        <v>44882</v>
      </c>
      <c r="H48" s="252">
        <v>14475</v>
      </c>
      <c r="I48" s="252">
        <v>48801</v>
      </c>
      <c r="J48" s="252">
        <v>46633</v>
      </c>
      <c r="K48" s="252">
        <v>21952</v>
      </c>
      <c r="L48" s="252">
        <v>15034</v>
      </c>
      <c r="M48" s="252">
        <v>6907</v>
      </c>
      <c r="N48" s="252">
        <v>6956</v>
      </c>
      <c r="O48" s="252">
        <v>66440</v>
      </c>
      <c r="P48" s="252">
        <v>25953</v>
      </c>
      <c r="Q48" s="252">
        <v>41687</v>
      </c>
      <c r="R48" s="252">
        <v>32556</v>
      </c>
      <c r="S48" s="252">
        <v>79758</v>
      </c>
      <c r="T48" s="252">
        <v>34046</v>
      </c>
      <c r="U48" s="252">
        <v>502087</v>
      </c>
      <c r="V48" s="253">
        <v>536</v>
      </c>
      <c r="W48" s="254">
        <v>502623</v>
      </c>
      <c r="X48" s="252">
        <v>15421</v>
      </c>
      <c r="Y48" s="252">
        <v>94269</v>
      </c>
      <c r="Z48" s="252">
        <v>392397</v>
      </c>
      <c r="AA48" s="267">
        <v>5006</v>
      </c>
      <c r="AB48" s="272">
        <v>514516.24934394367</v>
      </c>
    </row>
    <row r="49" spans="1:28" ht="15.75" customHeight="1">
      <c r="A49" s="112" t="s">
        <v>149</v>
      </c>
      <c r="B49" s="17" t="s">
        <v>155</v>
      </c>
      <c r="C49" s="251">
        <v>321</v>
      </c>
      <c r="D49" s="252">
        <v>23</v>
      </c>
      <c r="E49" s="252">
        <v>1442</v>
      </c>
      <c r="F49" s="252">
        <v>179</v>
      </c>
      <c r="G49" s="252">
        <v>14203</v>
      </c>
      <c r="H49" s="252">
        <v>24902</v>
      </c>
      <c r="I49" s="252">
        <v>46042</v>
      </c>
      <c r="J49" s="252">
        <v>116127</v>
      </c>
      <c r="K49" s="252">
        <v>142559</v>
      </c>
      <c r="L49" s="252">
        <v>51644</v>
      </c>
      <c r="M49" s="252">
        <v>116084</v>
      </c>
      <c r="N49" s="252">
        <v>92335</v>
      </c>
      <c r="O49" s="252">
        <v>127434</v>
      </c>
      <c r="P49" s="252">
        <v>137031</v>
      </c>
      <c r="Q49" s="252">
        <v>177200</v>
      </c>
      <c r="R49" s="252">
        <v>39271</v>
      </c>
      <c r="S49" s="252">
        <v>88544</v>
      </c>
      <c r="T49" s="252">
        <v>59583</v>
      </c>
      <c r="U49" s="252">
        <v>1234924</v>
      </c>
      <c r="V49" s="253">
        <v>1320</v>
      </c>
      <c r="W49" s="254">
        <v>1236244</v>
      </c>
      <c r="X49" s="252">
        <v>1786</v>
      </c>
      <c r="Y49" s="252">
        <v>60424</v>
      </c>
      <c r="Z49" s="252">
        <v>1172714</v>
      </c>
      <c r="AA49" s="267">
        <v>7346</v>
      </c>
      <c r="AB49" s="272">
        <v>1255434.55728229</v>
      </c>
    </row>
    <row r="50" spans="1:28" ht="15.75" customHeight="1">
      <c r="A50" s="112" t="s">
        <v>150</v>
      </c>
      <c r="B50" s="17" t="s">
        <v>156</v>
      </c>
      <c r="C50" s="251">
        <v>6347</v>
      </c>
      <c r="D50" s="252">
        <v>40</v>
      </c>
      <c r="E50" s="252">
        <v>498</v>
      </c>
      <c r="F50" s="252">
        <v>111</v>
      </c>
      <c r="G50" s="252">
        <v>8743</v>
      </c>
      <c r="H50" s="252">
        <v>5991</v>
      </c>
      <c r="I50" s="252">
        <v>16245</v>
      </c>
      <c r="J50" s="252">
        <v>15916</v>
      </c>
      <c r="K50" s="252">
        <v>7429</v>
      </c>
      <c r="L50" s="252">
        <v>6536</v>
      </c>
      <c r="M50" s="252">
        <v>1599</v>
      </c>
      <c r="N50" s="252">
        <v>2538</v>
      </c>
      <c r="O50" s="252">
        <v>14901</v>
      </c>
      <c r="P50" s="252">
        <v>9587</v>
      </c>
      <c r="Q50" s="252">
        <v>19150</v>
      </c>
      <c r="R50" s="252">
        <v>10442</v>
      </c>
      <c r="S50" s="252">
        <v>17101</v>
      </c>
      <c r="T50" s="252">
        <v>6700</v>
      </c>
      <c r="U50" s="252">
        <v>149874</v>
      </c>
      <c r="V50" s="253">
        <v>160</v>
      </c>
      <c r="W50" s="254">
        <v>150034</v>
      </c>
      <c r="X50" s="252">
        <v>6885</v>
      </c>
      <c r="Y50" s="252">
        <v>25099</v>
      </c>
      <c r="Z50" s="252">
        <v>117890</v>
      </c>
      <c r="AA50" s="267">
        <v>5426</v>
      </c>
      <c r="AB50" s="272">
        <v>155097.01763295761</v>
      </c>
    </row>
    <row r="51" spans="1:28" ht="15.75" customHeight="1">
      <c r="A51" s="113" t="s">
        <v>151</v>
      </c>
      <c r="B51" s="105" t="s">
        <v>157</v>
      </c>
      <c r="C51" s="255">
        <v>5667</v>
      </c>
      <c r="D51" s="256">
        <v>27</v>
      </c>
      <c r="E51" s="256">
        <v>566</v>
      </c>
      <c r="F51" s="256">
        <v>257</v>
      </c>
      <c r="G51" s="256">
        <v>6844</v>
      </c>
      <c r="H51" s="256">
        <v>6252</v>
      </c>
      <c r="I51" s="256">
        <v>16886</v>
      </c>
      <c r="J51" s="256">
        <v>11532</v>
      </c>
      <c r="K51" s="256">
        <v>12944</v>
      </c>
      <c r="L51" s="256">
        <v>13210</v>
      </c>
      <c r="M51" s="256">
        <v>1051</v>
      </c>
      <c r="N51" s="256">
        <v>2812</v>
      </c>
      <c r="O51" s="256">
        <v>17524</v>
      </c>
      <c r="P51" s="256">
        <v>13545</v>
      </c>
      <c r="Q51" s="256">
        <v>16740</v>
      </c>
      <c r="R51" s="256">
        <v>12057</v>
      </c>
      <c r="S51" s="256">
        <v>13171</v>
      </c>
      <c r="T51" s="256">
        <v>8777</v>
      </c>
      <c r="U51" s="256">
        <v>159862</v>
      </c>
      <c r="V51" s="257">
        <v>171</v>
      </c>
      <c r="W51" s="258">
        <v>160033</v>
      </c>
      <c r="X51" s="256">
        <v>6260</v>
      </c>
      <c r="Y51" s="256">
        <v>23987</v>
      </c>
      <c r="Z51" s="256">
        <v>129615</v>
      </c>
      <c r="AA51" s="268">
        <v>5656</v>
      </c>
      <c r="AB51" s="273">
        <v>166359.23372678887</v>
      </c>
    </row>
    <row r="52" spans="1:28" ht="15.75" customHeight="1">
      <c r="B52" s="25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15.75" customHeight="1">
      <c r="A53" s="222" t="s">
        <v>292</v>
      </c>
    </row>
    <row r="54" spans="1:28" ht="13.5" customHeight="1">
      <c r="A54" s="55">
        <f>A2+1</f>
        <v>24</v>
      </c>
      <c r="B54" s="50" t="str">
        <f>IF(A54&lt;22,"令和"&amp;A54&amp;"年度","平成"&amp;A54&amp;"年度")</f>
        <v>平成24年度</v>
      </c>
      <c r="C54" s="56" t="str">
        <f>C$2</f>
        <v>経済活動別市町村内総生産（百万円）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1"/>
      <c r="Y54" s="2"/>
      <c r="Z54" s="57"/>
      <c r="AA54" s="57"/>
      <c r="AB54" s="57"/>
    </row>
    <row r="55" spans="1:28" ht="45" customHeight="1">
      <c r="A55" s="186"/>
      <c r="B55" s="76"/>
      <c r="C55" s="77" t="s">
        <v>51</v>
      </c>
      <c r="D55" s="77" t="s">
        <v>52</v>
      </c>
      <c r="E55" s="77" t="s">
        <v>53</v>
      </c>
      <c r="F55" s="77" t="s">
        <v>54</v>
      </c>
      <c r="G55" s="77" t="s">
        <v>55</v>
      </c>
      <c r="H55" s="77" t="s">
        <v>56</v>
      </c>
      <c r="I55" s="77" t="s">
        <v>57</v>
      </c>
      <c r="J55" s="77" t="s">
        <v>58</v>
      </c>
      <c r="K55" s="77" t="s">
        <v>59</v>
      </c>
      <c r="L55" s="77" t="s">
        <v>60</v>
      </c>
      <c r="M55" s="77" t="s">
        <v>61</v>
      </c>
      <c r="N55" s="77" t="s">
        <v>62</v>
      </c>
      <c r="O55" s="77" t="s">
        <v>63</v>
      </c>
      <c r="P55" s="77" t="s">
        <v>64</v>
      </c>
      <c r="Q55" s="77" t="s">
        <v>65</v>
      </c>
      <c r="R55" s="77" t="s">
        <v>66</v>
      </c>
      <c r="S55" s="77" t="s">
        <v>67</v>
      </c>
      <c r="T55" s="77" t="s">
        <v>68</v>
      </c>
      <c r="U55" s="77" t="s">
        <v>70</v>
      </c>
      <c r="V55" s="78" t="s">
        <v>69</v>
      </c>
      <c r="W55" s="79" t="s">
        <v>71</v>
      </c>
      <c r="X55" s="77" t="s">
        <v>72</v>
      </c>
      <c r="Y55" s="77" t="s">
        <v>73</v>
      </c>
      <c r="Z55" s="77" t="s">
        <v>74</v>
      </c>
      <c r="AA55" s="259" t="s">
        <v>277</v>
      </c>
      <c r="AB55" s="269" t="s">
        <v>278</v>
      </c>
    </row>
    <row r="56" spans="1:28" ht="13.5" customHeight="1">
      <c r="A56" s="153" t="s">
        <v>160</v>
      </c>
      <c r="B56" s="22" t="s">
        <v>0</v>
      </c>
      <c r="C56" s="243">
        <v>50283</v>
      </c>
      <c r="D56" s="244">
        <v>293</v>
      </c>
      <c r="E56" s="244">
        <v>8313</v>
      </c>
      <c r="F56" s="244">
        <v>3203</v>
      </c>
      <c r="G56" s="244">
        <v>163211</v>
      </c>
      <c r="H56" s="244">
        <v>139039</v>
      </c>
      <c r="I56" s="244">
        <v>250186</v>
      </c>
      <c r="J56" s="244">
        <v>394115</v>
      </c>
      <c r="K56" s="244">
        <v>238099</v>
      </c>
      <c r="L56" s="244">
        <v>157443</v>
      </c>
      <c r="M56" s="244">
        <v>186100</v>
      </c>
      <c r="N56" s="244">
        <v>138700</v>
      </c>
      <c r="O56" s="244">
        <v>459644</v>
      </c>
      <c r="P56" s="244">
        <v>341640</v>
      </c>
      <c r="Q56" s="244">
        <v>372209</v>
      </c>
      <c r="R56" s="244">
        <v>216348</v>
      </c>
      <c r="S56" s="244">
        <v>429365</v>
      </c>
      <c r="T56" s="244">
        <v>228432</v>
      </c>
      <c r="U56" s="244">
        <v>3776623</v>
      </c>
      <c r="V56" s="245">
        <v>3812</v>
      </c>
      <c r="W56" s="246">
        <v>3780435</v>
      </c>
      <c r="X56" s="244">
        <v>58889</v>
      </c>
      <c r="Y56" s="244">
        <v>416600</v>
      </c>
      <c r="Z56" s="245">
        <v>3301134</v>
      </c>
      <c r="AA56" s="260">
        <v>5815</v>
      </c>
      <c r="AB56" s="270">
        <v>3897784</v>
      </c>
    </row>
    <row r="57" spans="1:28" ht="13.5" customHeight="1">
      <c r="A57" s="16" t="s">
        <v>1</v>
      </c>
      <c r="B57" s="17" t="s">
        <v>2</v>
      </c>
      <c r="C57" s="247">
        <v>321</v>
      </c>
      <c r="D57" s="248">
        <v>23</v>
      </c>
      <c r="E57" s="248">
        <v>1697</v>
      </c>
      <c r="F57" s="248">
        <v>187</v>
      </c>
      <c r="G57" s="248">
        <v>13567</v>
      </c>
      <c r="H57" s="248">
        <v>24401</v>
      </c>
      <c r="I57" s="248">
        <v>49567</v>
      </c>
      <c r="J57" s="248">
        <v>118263</v>
      </c>
      <c r="K57" s="248">
        <v>128082</v>
      </c>
      <c r="L57" s="248">
        <v>50279</v>
      </c>
      <c r="M57" s="248">
        <v>109422</v>
      </c>
      <c r="N57" s="248">
        <v>89270</v>
      </c>
      <c r="O57" s="248">
        <v>126342</v>
      </c>
      <c r="P57" s="248">
        <v>145289</v>
      </c>
      <c r="Q57" s="248">
        <v>175745</v>
      </c>
      <c r="R57" s="248">
        <v>39000</v>
      </c>
      <c r="S57" s="248">
        <v>92616</v>
      </c>
      <c r="T57" s="248">
        <v>61231</v>
      </c>
      <c r="U57" s="248">
        <v>1225302</v>
      </c>
      <c r="V57" s="249">
        <v>1238</v>
      </c>
      <c r="W57" s="250">
        <v>1226540</v>
      </c>
      <c r="X57" s="248">
        <v>2041</v>
      </c>
      <c r="Y57" s="248">
        <v>63321</v>
      </c>
      <c r="Z57" s="249">
        <v>1159940</v>
      </c>
      <c r="AA57" s="261">
        <v>7151</v>
      </c>
      <c r="AB57" s="271">
        <v>1253591.4984146883</v>
      </c>
    </row>
    <row r="58" spans="1:28" ht="13.5" customHeight="1">
      <c r="A58" s="18" t="s">
        <v>3</v>
      </c>
      <c r="B58" s="19" t="s">
        <v>4</v>
      </c>
      <c r="C58" s="251">
        <v>128</v>
      </c>
      <c r="D58" s="252">
        <v>0</v>
      </c>
      <c r="E58" s="252">
        <v>183</v>
      </c>
      <c r="F58" s="252">
        <v>334</v>
      </c>
      <c r="G58" s="252">
        <v>2383</v>
      </c>
      <c r="H58" s="252">
        <v>5719</v>
      </c>
      <c r="I58" s="252">
        <v>13992</v>
      </c>
      <c r="J58" s="252">
        <v>22611</v>
      </c>
      <c r="K58" s="252">
        <v>5105</v>
      </c>
      <c r="L58" s="252">
        <v>7647</v>
      </c>
      <c r="M58" s="252">
        <v>8604</v>
      </c>
      <c r="N58" s="252">
        <v>4288</v>
      </c>
      <c r="O58" s="252">
        <v>31831</v>
      </c>
      <c r="P58" s="252">
        <v>17916</v>
      </c>
      <c r="Q58" s="252">
        <v>8413</v>
      </c>
      <c r="R58" s="252">
        <v>12411</v>
      </c>
      <c r="S58" s="252">
        <v>18499</v>
      </c>
      <c r="T58" s="252">
        <v>13946</v>
      </c>
      <c r="U58" s="252">
        <v>174010</v>
      </c>
      <c r="V58" s="253">
        <v>175</v>
      </c>
      <c r="W58" s="254">
        <v>174185</v>
      </c>
      <c r="X58" s="252">
        <v>311</v>
      </c>
      <c r="Y58" s="252">
        <v>16709</v>
      </c>
      <c r="Z58" s="253">
        <v>156990</v>
      </c>
      <c r="AA58" s="262">
        <v>5260</v>
      </c>
      <c r="AB58" s="272">
        <v>178252.94039753193</v>
      </c>
    </row>
    <row r="59" spans="1:28" ht="13.5" customHeight="1">
      <c r="A59" s="18" t="s">
        <v>5</v>
      </c>
      <c r="B59" s="19" t="s">
        <v>6</v>
      </c>
      <c r="C59" s="251">
        <v>4919</v>
      </c>
      <c r="D59" s="252">
        <v>21</v>
      </c>
      <c r="E59" s="252">
        <v>471</v>
      </c>
      <c r="F59" s="252">
        <v>221</v>
      </c>
      <c r="G59" s="252">
        <v>5112</v>
      </c>
      <c r="H59" s="252">
        <v>5351</v>
      </c>
      <c r="I59" s="252">
        <v>9208</v>
      </c>
      <c r="J59" s="252">
        <v>11536</v>
      </c>
      <c r="K59" s="252">
        <v>10928</v>
      </c>
      <c r="L59" s="252">
        <v>10346</v>
      </c>
      <c r="M59" s="252">
        <v>1219</v>
      </c>
      <c r="N59" s="252">
        <v>2527</v>
      </c>
      <c r="O59" s="252">
        <v>16000</v>
      </c>
      <c r="P59" s="252">
        <v>14422</v>
      </c>
      <c r="Q59" s="252">
        <v>16351</v>
      </c>
      <c r="R59" s="252">
        <v>8660</v>
      </c>
      <c r="S59" s="252">
        <v>13042</v>
      </c>
      <c r="T59" s="252">
        <v>6878</v>
      </c>
      <c r="U59" s="252">
        <v>137212</v>
      </c>
      <c r="V59" s="253">
        <v>139</v>
      </c>
      <c r="W59" s="254">
        <v>137351</v>
      </c>
      <c r="X59" s="252">
        <v>5411</v>
      </c>
      <c r="Y59" s="252">
        <v>14541</v>
      </c>
      <c r="Z59" s="253">
        <v>117260</v>
      </c>
      <c r="AA59" s="262">
        <v>5473</v>
      </c>
      <c r="AB59" s="272">
        <v>142609.33098216029</v>
      </c>
    </row>
    <row r="60" spans="1:28" ht="13.5" customHeight="1">
      <c r="A60" s="18" t="s">
        <v>7</v>
      </c>
      <c r="B60" s="19" t="s">
        <v>8</v>
      </c>
      <c r="C60" s="251">
        <v>32</v>
      </c>
      <c r="D60" s="252">
        <v>1</v>
      </c>
      <c r="E60" s="252">
        <v>234</v>
      </c>
      <c r="F60" s="252">
        <v>131</v>
      </c>
      <c r="G60" s="252">
        <v>19233</v>
      </c>
      <c r="H60" s="252">
        <v>19526</v>
      </c>
      <c r="I60" s="252">
        <v>18187</v>
      </c>
      <c r="J60" s="252">
        <v>77030</v>
      </c>
      <c r="K60" s="252">
        <v>17034</v>
      </c>
      <c r="L60" s="252">
        <v>7626</v>
      </c>
      <c r="M60" s="252">
        <v>38112</v>
      </c>
      <c r="N60" s="252">
        <v>9079</v>
      </c>
      <c r="O60" s="252">
        <v>35393</v>
      </c>
      <c r="P60" s="252">
        <v>38117</v>
      </c>
      <c r="Q60" s="252">
        <v>13801</v>
      </c>
      <c r="R60" s="252">
        <v>16853</v>
      </c>
      <c r="S60" s="252">
        <v>36540</v>
      </c>
      <c r="T60" s="252">
        <v>16854</v>
      </c>
      <c r="U60" s="252">
        <v>363783</v>
      </c>
      <c r="V60" s="253">
        <v>368</v>
      </c>
      <c r="W60" s="254">
        <v>364151</v>
      </c>
      <c r="X60" s="252">
        <v>267</v>
      </c>
      <c r="Y60" s="252">
        <v>37551</v>
      </c>
      <c r="Z60" s="253">
        <v>325965</v>
      </c>
      <c r="AA60" s="262">
        <v>6564</v>
      </c>
      <c r="AB60" s="272">
        <v>374582.50244927872</v>
      </c>
    </row>
    <row r="61" spans="1:28" ht="13.5" customHeight="1">
      <c r="A61" s="16" t="s">
        <v>9</v>
      </c>
      <c r="B61" s="17" t="s">
        <v>10</v>
      </c>
      <c r="C61" s="251">
        <v>3276</v>
      </c>
      <c r="D61" s="252">
        <v>71</v>
      </c>
      <c r="E61" s="252">
        <v>314</v>
      </c>
      <c r="F61" s="252">
        <v>552</v>
      </c>
      <c r="G61" s="252">
        <v>15185</v>
      </c>
      <c r="H61" s="252">
        <v>5360</v>
      </c>
      <c r="I61" s="252">
        <v>11071</v>
      </c>
      <c r="J61" s="252">
        <v>14753</v>
      </c>
      <c r="K61" s="252">
        <v>4455</v>
      </c>
      <c r="L61" s="252">
        <v>9030</v>
      </c>
      <c r="M61" s="252">
        <v>1740</v>
      </c>
      <c r="N61" s="252">
        <v>4428</v>
      </c>
      <c r="O61" s="252">
        <v>17997</v>
      </c>
      <c r="P61" s="252">
        <v>12255</v>
      </c>
      <c r="Q61" s="252">
        <v>13693</v>
      </c>
      <c r="R61" s="252">
        <v>13741</v>
      </c>
      <c r="S61" s="252">
        <v>28323</v>
      </c>
      <c r="T61" s="252">
        <v>9146</v>
      </c>
      <c r="U61" s="252">
        <v>165390</v>
      </c>
      <c r="V61" s="253">
        <v>167</v>
      </c>
      <c r="W61" s="254">
        <v>165557</v>
      </c>
      <c r="X61" s="252">
        <v>3661</v>
      </c>
      <c r="Y61" s="252">
        <v>26808</v>
      </c>
      <c r="Z61" s="253">
        <v>134921</v>
      </c>
      <c r="AA61" s="262">
        <v>5370</v>
      </c>
      <c r="AB61" s="272">
        <v>169249.16735304607</v>
      </c>
    </row>
    <row r="62" spans="1:28" ht="13.5" customHeight="1">
      <c r="A62" s="18" t="s">
        <v>11</v>
      </c>
      <c r="B62" s="19" t="s">
        <v>12</v>
      </c>
      <c r="C62" s="251">
        <v>3593</v>
      </c>
      <c r="D62" s="252">
        <v>1</v>
      </c>
      <c r="E62" s="252">
        <v>360</v>
      </c>
      <c r="F62" s="252">
        <v>352</v>
      </c>
      <c r="G62" s="252">
        <v>18176</v>
      </c>
      <c r="H62" s="252">
        <v>3325</v>
      </c>
      <c r="I62" s="252">
        <v>7782</v>
      </c>
      <c r="J62" s="252">
        <v>10861</v>
      </c>
      <c r="K62" s="252">
        <v>5437</v>
      </c>
      <c r="L62" s="252">
        <v>3984</v>
      </c>
      <c r="M62" s="252">
        <v>538</v>
      </c>
      <c r="N62" s="252">
        <v>1549</v>
      </c>
      <c r="O62" s="252">
        <v>15678</v>
      </c>
      <c r="P62" s="252">
        <v>4430</v>
      </c>
      <c r="Q62" s="252">
        <v>8380</v>
      </c>
      <c r="R62" s="252">
        <v>7799</v>
      </c>
      <c r="S62" s="252">
        <v>18674</v>
      </c>
      <c r="T62" s="252">
        <v>8847</v>
      </c>
      <c r="U62" s="252">
        <v>119766</v>
      </c>
      <c r="V62" s="253">
        <v>121</v>
      </c>
      <c r="W62" s="254">
        <v>119887</v>
      </c>
      <c r="X62" s="252">
        <v>3954</v>
      </c>
      <c r="Y62" s="252">
        <v>26310</v>
      </c>
      <c r="Z62" s="253">
        <v>89502</v>
      </c>
      <c r="AA62" s="262">
        <v>4606</v>
      </c>
      <c r="AB62" s="272">
        <v>122713.9764332981</v>
      </c>
    </row>
    <row r="63" spans="1:28" ht="13.5" customHeight="1">
      <c r="A63" s="18" t="s">
        <v>13</v>
      </c>
      <c r="B63" s="19" t="s">
        <v>14</v>
      </c>
      <c r="C63" s="251">
        <v>1385</v>
      </c>
      <c r="D63" s="252">
        <v>2</v>
      </c>
      <c r="E63" s="252">
        <v>242</v>
      </c>
      <c r="F63" s="252">
        <v>110</v>
      </c>
      <c r="G63" s="252">
        <v>11964</v>
      </c>
      <c r="H63" s="252">
        <v>8145</v>
      </c>
      <c r="I63" s="252">
        <v>15482</v>
      </c>
      <c r="J63" s="252">
        <v>23107</v>
      </c>
      <c r="K63" s="252">
        <v>7970</v>
      </c>
      <c r="L63" s="252">
        <v>13221</v>
      </c>
      <c r="M63" s="252">
        <v>2713</v>
      </c>
      <c r="N63" s="252">
        <v>9333</v>
      </c>
      <c r="O63" s="252">
        <v>43653</v>
      </c>
      <c r="P63" s="252">
        <v>27452</v>
      </c>
      <c r="Q63" s="252">
        <v>25459</v>
      </c>
      <c r="R63" s="252">
        <v>19696</v>
      </c>
      <c r="S63" s="252">
        <v>48644</v>
      </c>
      <c r="T63" s="252">
        <v>20773</v>
      </c>
      <c r="U63" s="252">
        <v>279351</v>
      </c>
      <c r="V63" s="253">
        <v>282</v>
      </c>
      <c r="W63" s="254">
        <v>279633</v>
      </c>
      <c r="X63" s="252">
        <v>1629</v>
      </c>
      <c r="Y63" s="252">
        <v>27556</v>
      </c>
      <c r="Z63" s="253">
        <v>250166</v>
      </c>
      <c r="AA63" s="262">
        <v>5422</v>
      </c>
      <c r="AB63" s="272">
        <v>285385.31962774839</v>
      </c>
    </row>
    <row r="64" spans="1:28" ht="13.5" customHeight="1">
      <c r="A64" s="18" t="s">
        <v>15</v>
      </c>
      <c r="B64" s="19" t="s">
        <v>45</v>
      </c>
      <c r="C64" s="251">
        <v>1327</v>
      </c>
      <c r="D64" s="252">
        <v>3</v>
      </c>
      <c r="E64" s="252">
        <v>310</v>
      </c>
      <c r="F64" s="252">
        <v>46</v>
      </c>
      <c r="G64" s="252">
        <v>5373</v>
      </c>
      <c r="H64" s="252">
        <v>2889</v>
      </c>
      <c r="I64" s="252">
        <v>10679</v>
      </c>
      <c r="J64" s="252">
        <v>14487</v>
      </c>
      <c r="K64" s="252">
        <v>8395</v>
      </c>
      <c r="L64" s="252">
        <v>2838</v>
      </c>
      <c r="M64" s="252">
        <v>4355</v>
      </c>
      <c r="N64" s="252">
        <v>1563</v>
      </c>
      <c r="O64" s="252">
        <v>17163</v>
      </c>
      <c r="P64" s="252">
        <v>16298</v>
      </c>
      <c r="Q64" s="252">
        <v>6097</v>
      </c>
      <c r="R64" s="252">
        <v>6417</v>
      </c>
      <c r="S64" s="252">
        <v>21791</v>
      </c>
      <c r="T64" s="252">
        <v>6608</v>
      </c>
      <c r="U64" s="252">
        <v>126639</v>
      </c>
      <c r="V64" s="253">
        <v>128</v>
      </c>
      <c r="W64" s="254">
        <v>126767</v>
      </c>
      <c r="X64" s="252">
        <v>1640</v>
      </c>
      <c r="Y64" s="252">
        <v>16098</v>
      </c>
      <c r="Z64" s="253">
        <v>108901</v>
      </c>
      <c r="AA64" s="262">
        <v>5862</v>
      </c>
      <c r="AB64" s="272">
        <v>130438.31126715209</v>
      </c>
    </row>
    <row r="65" spans="1:28" ht="13.5" customHeight="1">
      <c r="A65" s="18" t="s">
        <v>16</v>
      </c>
      <c r="B65" s="19" t="s">
        <v>46</v>
      </c>
      <c r="C65" s="251">
        <v>2530</v>
      </c>
      <c r="D65" s="252">
        <v>2</v>
      </c>
      <c r="E65" s="252">
        <v>544</v>
      </c>
      <c r="F65" s="252">
        <v>169</v>
      </c>
      <c r="G65" s="252">
        <v>16195</v>
      </c>
      <c r="H65" s="252">
        <v>21197</v>
      </c>
      <c r="I65" s="252">
        <v>17519</v>
      </c>
      <c r="J65" s="252">
        <v>21396</v>
      </c>
      <c r="K65" s="252">
        <v>16246</v>
      </c>
      <c r="L65" s="252">
        <v>6557</v>
      </c>
      <c r="M65" s="252">
        <v>9143</v>
      </c>
      <c r="N65" s="252">
        <v>4007</v>
      </c>
      <c r="O65" s="252">
        <v>34848</v>
      </c>
      <c r="P65" s="252">
        <v>17583</v>
      </c>
      <c r="Q65" s="252">
        <v>19796</v>
      </c>
      <c r="R65" s="252">
        <v>13678</v>
      </c>
      <c r="S65" s="252">
        <v>28299</v>
      </c>
      <c r="T65" s="252">
        <v>15730</v>
      </c>
      <c r="U65" s="252">
        <v>245439</v>
      </c>
      <c r="V65" s="253">
        <v>248</v>
      </c>
      <c r="W65" s="254">
        <v>245687</v>
      </c>
      <c r="X65" s="252">
        <v>3076</v>
      </c>
      <c r="Y65" s="252">
        <v>33883</v>
      </c>
      <c r="Z65" s="253">
        <v>208480</v>
      </c>
      <c r="AA65" s="262">
        <v>5895</v>
      </c>
      <c r="AB65" s="272">
        <v>256728.63079130003</v>
      </c>
    </row>
    <row r="66" spans="1:28" ht="13.5" customHeight="1">
      <c r="A66" s="18">
        <v>10</v>
      </c>
      <c r="B66" s="19" t="s">
        <v>47</v>
      </c>
      <c r="C66" s="251">
        <v>7992</v>
      </c>
      <c r="D66" s="252">
        <v>37</v>
      </c>
      <c r="E66" s="252">
        <v>512</v>
      </c>
      <c r="F66" s="252">
        <v>118</v>
      </c>
      <c r="G66" s="252">
        <v>10174</v>
      </c>
      <c r="H66" s="252">
        <v>5507</v>
      </c>
      <c r="I66" s="252">
        <v>12310</v>
      </c>
      <c r="J66" s="252">
        <v>17093</v>
      </c>
      <c r="K66" s="252">
        <v>7377</v>
      </c>
      <c r="L66" s="252">
        <v>6451</v>
      </c>
      <c r="M66" s="252">
        <v>1804</v>
      </c>
      <c r="N66" s="252">
        <v>2355</v>
      </c>
      <c r="O66" s="252">
        <v>14547</v>
      </c>
      <c r="P66" s="252">
        <v>9987</v>
      </c>
      <c r="Q66" s="252">
        <v>18117</v>
      </c>
      <c r="R66" s="252">
        <v>10296</v>
      </c>
      <c r="S66" s="252">
        <v>17756</v>
      </c>
      <c r="T66" s="252">
        <v>6596</v>
      </c>
      <c r="U66" s="252">
        <v>149029</v>
      </c>
      <c r="V66" s="253">
        <v>150</v>
      </c>
      <c r="W66" s="254">
        <v>149179</v>
      </c>
      <c r="X66" s="252">
        <v>8541</v>
      </c>
      <c r="Y66" s="252">
        <v>22602</v>
      </c>
      <c r="Z66" s="253">
        <v>117886</v>
      </c>
      <c r="AA66" s="262">
        <v>5490</v>
      </c>
      <c r="AB66" s="272">
        <v>154105.94758210759</v>
      </c>
    </row>
    <row r="67" spans="1:28" ht="13.5" customHeight="1">
      <c r="A67" s="20">
        <v>11</v>
      </c>
      <c r="B67" s="21" t="s">
        <v>48</v>
      </c>
      <c r="C67" s="255">
        <v>2851</v>
      </c>
      <c r="D67" s="256">
        <v>1</v>
      </c>
      <c r="E67" s="256">
        <v>566</v>
      </c>
      <c r="F67" s="256">
        <v>85</v>
      </c>
      <c r="G67" s="256">
        <v>6227</v>
      </c>
      <c r="H67" s="256">
        <v>2017</v>
      </c>
      <c r="I67" s="256">
        <v>7579</v>
      </c>
      <c r="J67" s="256">
        <v>3907</v>
      </c>
      <c r="K67" s="256">
        <v>3209</v>
      </c>
      <c r="L67" s="256">
        <v>1356</v>
      </c>
      <c r="M67" s="256">
        <v>30</v>
      </c>
      <c r="N67" s="256">
        <v>410</v>
      </c>
      <c r="O67" s="256">
        <v>10321</v>
      </c>
      <c r="P67" s="256">
        <v>1627</v>
      </c>
      <c r="Q67" s="256">
        <v>8967</v>
      </c>
      <c r="R67" s="256">
        <v>3208</v>
      </c>
      <c r="S67" s="256">
        <v>7217</v>
      </c>
      <c r="T67" s="256">
        <v>4386</v>
      </c>
      <c r="U67" s="256">
        <v>63964</v>
      </c>
      <c r="V67" s="257">
        <v>64</v>
      </c>
      <c r="W67" s="258">
        <v>64028</v>
      </c>
      <c r="X67" s="256">
        <v>3418</v>
      </c>
      <c r="Y67" s="256">
        <v>13891</v>
      </c>
      <c r="Z67" s="257">
        <v>46655</v>
      </c>
      <c r="AA67" s="263">
        <v>4277</v>
      </c>
      <c r="AB67" s="273">
        <v>65805.410261214449</v>
      </c>
    </row>
    <row r="68" spans="1:28" ht="13.5" customHeight="1">
      <c r="A68" s="18">
        <v>12</v>
      </c>
      <c r="B68" s="19" t="s">
        <v>17</v>
      </c>
      <c r="C68" s="247">
        <v>1867</v>
      </c>
      <c r="D68" s="248">
        <v>73</v>
      </c>
      <c r="E68" s="248">
        <v>53</v>
      </c>
      <c r="F68" s="248">
        <v>56</v>
      </c>
      <c r="G68" s="248">
        <v>217</v>
      </c>
      <c r="H68" s="248">
        <v>361</v>
      </c>
      <c r="I68" s="248">
        <v>1834</v>
      </c>
      <c r="J68" s="248">
        <v>439</v>
      </c>
      <c r="K68" s="248">
        <v>320</v>
      </c>
      <c r="L68" s="248">
        <v>1164</v>
      </c>
      <c r="M68" s="248">
        <v>1</v>
      </c>
      <c r="N68" s="248">
        <v>150</v>
      </c>
      <c r="O68" s="248">
        <v>1155</v>
      </c>
      <c r="P68" s="248">
        <v>153</v>
      </c>
      <c r="Q68" s="248">
        <v>1577</v>
      </c>
      <c r="R68" s="248">
        <v>978</v>
      </c>
      <c r="S68" s="248">
        <v>846</v>
      </c>
      <c r="T68" s="248">
        <v>509</v>
      </c>
      <c r="U68" s="248">
        <v>11753</v>
      </c>
      <c r="V68" s="249">
        <v>12</v>
      </c>
      <c r="W68" s="250">
        <v>11765</v>
      </c>
      <c r="X68" s="248">
        <v>1993</v>
      </c>
      <c r="Y68" s="248">
        <v>2107</v>
      </c>
      <c r="Z68" s="249">
        <v>7653</v>
      </c>
      <c r="AA68" s="261">
        <v>4102</v>
      </c>
      <c r="AB68" s="271">
        <v>12156.843846637079</v>
      </c>
    </row>
    <row r="69" spans="1:28" ht="13.5" customHeight="1">
      <c r="A69" s="18">
        <v>13</v>
      </c>
      <c r="B69" s="19" t="s">
        <v>18</v>
      </c>
      <c r="C69" s="251">
        <v>1118</v>
      </c>
      <c r="D69" s="252">
        <v>8</v>
      </c>
      <c r="E69" s="252">
        <v>17</v>
      </c>
      <c r="F69" s="252">
        <v>0</v>
      </c>
      <c r="G69" s="252">
        <v>150</v>
      </c>
      <c r="H69" s="252">
        <v>134</v>
      </c>
      <c r="I69" s="252">
        <v>1201</v>
      </c>
      <c r="J69" s="252">
        <v>175</v>
      </c>
      <c r="K69" s="252">
        <v>320</v>
      </c>
      <c r="L69" s="252">
        <v>74</v>
      </c>
      <c r="M69" s="252">
        <v>0</v>
      </c>
      <c r="N69" s="252">
        <v>4</v>
      </c>
      <c r="O69" s="252">
        <v>760</v>
      </c>
      <c r="P69" s="252">
        <v>180</v>
      </c>
      <c r="Q69" s="252">
        <v>841</v>
      </c>
      <c r="R69" s="252">
        <v>890</v>
      </c>
      <c r="S69" s="252">
        <v>813</v>
      </c>
      <c r="T69" s="252">
        <v>292</v>
      </c>
      <c r="U69" s="252">
        <v>6977</v>
      </c>
      <c r="V69" s="253">
        <v>7</v>
      </c>
      <c r="W69" s="254">
        <v>6984</v>
      </c>
      <c r="X69" s="252">
        <v>1143</v>
      </c>
      <c r="Y69" s="252">
        <v>1351</v>
      </c>
      <c r="Z69" s="253">
        <v>4483</v>
      </c>
      <c r="AA69" s="262">
        <v>4290</v>
      </c>
      <c r="AB69" s="272">
        <v>7277.8410470311765</v>
      </c>
    </row>
    <row r="70" spans="1:28" ht="13.5" customHeight="1">
      <c r="A70" s="18">
        <v>14</v>
      </c>
      <c r="B70" s="19" t="s">
        <v>19</v>
      </c>
      <c r="C70" s="251">
        <v>952</v>
      </c>
      <c r="D70" s="252">
        <v>3</v>
      </c>
      <c r="E70" s="252">
        <v>27</v>
      </c>
      <c r="F70" s="252">
        <v>0</v>
      </c>
      <c r="G70" s="252">
        <v>281</v>
      </c>
      <c r="H70" s="252">
        <v>45</v>
      </c>
      <c r="I70" s="252">
        <v>649</v>
      </c>
      <c r="J70" s="252">
        <v>98</v>
      </c>
      <c r="K70" s="252">
        <v>69</v>
      </c>
      <c r="L70" s="252">
        <v>125</v>
      </c>
      <c r="M70" s="252">
        <v>0</v>
      </c>
      <c r="N70" s="252">
        <v>11</v>
      </c>
      <c r="O70" s="252">
        <v>364</v>
      </c>
      <c r="P70" s="252">
        <v>858</v>
      </c>
      <c r="Q70" s="252">
        <v>709</v>
      </c>
      <c r="R70" s="252">
        <v>698</v>
      </c>
      <c r="S70" s="252">
        <v>205</v>
      </c>
      <c r="T70" s="252">
        <v>288</v>
      </c>
      <c r="U70" s="252">
        <v>5382</v>
      </c>
      <c r="V70" s="253">
        <v>5</v>
      </c>
      <c r="W70" s="254">
        <v>5387</v>
      </c>
      <c r="X70" s="252">
        <v>982</v>
      </c>
      <c r="Y70" s="252">
        <v>930</v>
      </c>
      <c r="Z70" s="253">
        <v>3470</v>
      </c>
      <c r="AA70" s="262">
        <v>4380</v>
      </c>
      <c r="AB70" s="272">
        <v>5600.8394171955651</v>
      </c>
    </row>
    <row r="71" spans="1:28" ht="13.5" customHeight="1">
      <c r="A71" s="18">
        <v>15</v>
      </c>
      <c r="B71" s="19" t="s">
        <v>20</v>
      </c>
      <c r="C71" s="251">
        <v>1761</v>
      </c>
      <c r="D71" s="252">
        <v>7</v>
      </c>
      <c r="E71" s="252">
        <v>73</v>
      </c>
      <c r="F71" s="252">
        <v>0</v>
      </c>
      <c r="G71" s="252">
        <v>877</v>
      </c>
      <c r="H71" s="252">
        <v>358</v>
      </c>
      <c r="I71" s="252">
        <v>2253</v>
      </c>
      <c r="J71" s="252">
        <v>570</v>
      </c>
      <c r="K71" s="252">
        <v>465</v>
      </c>
      <c r="L71" s="252">
        <v>822</v>
      </c>
      <c r="M71" s="252">
        <v>44</v>
      </c>
      <c r="N71" s="252">
        <v>85</v>
      </c>
      <c r="O71" s="252">
        <v>1897</v>
      </c>
      <c r="P71" s="252">
        <v>714</v>
      </c>
      <c r="Q71" s="252">
        <v>1294</v>
      </c>
      <c r="R71" s="252">
        <v>1190</v>
      </c>
      <c r="S71" s="252">
        <v>1904</v>
      </c>
      <c r="T71" s="252">
        <v>1256</v>
      </c>
      <c r="U71" s="252">
        <v>15570</v>
      </c>
      <c r="V71" s="253">
        <v>16</v>
      </c>
      <c r="W71" s="254">
        <v>15586</v>
      </c>
      <c r="X71" s="252">
        <v>1841</v>
      </c>
      <c r="Y71" s="252">
        <v>3130</v>
      </c>
      <c r="Z71" s="253">
        <v>10599</v>
      </c>
      <c r="AA71" s="262">
        <v>3668</v>
      </c>
      <c r="AB71" s="272">
        <v>16066.187624885537</v>
      </c>
    </row>
    <row r="72" spans="1:28" ht="13.5" customHeight="1">
      <c r="A72" s="18">
        <v>16</v>
      </c>
      <c r="B72" s="19" t="s">
        <v>21</v>
      </c>
      <c r="C72" s="251">
        <v>1246</v>
      </c>
      <c r="D72" s="252">
        <v>2</v>
      </c>
      <c r="E72" s="252">
        <v>351</v>
      </c>
      <c r="F72" s="252">
        <v>380</v>
      </c>
      <c r="G72" s="252">
        <v>1359</v>
      </c>
      <c r="H72" s="252">
        <v>1015</v>
      </c>
      <c r="I72" s="252">
        <v>3886</v>
      </c>
      <c r="J72" s="252">
        <v>1590</v>
      </c>
      <c r="K72" s="252">
        <v>1094</v>
      </c>
      <c r="L72" s="252">
        <v>2649</v>
      </c>
      <c r="M72" s="252">
        <v>0</v>
      </c>
      <c r="N72" s="252">
        <v>479</v>
      </c>
      <c r="O72" s="252">
        <v>3594</v>
      </c>
      <c r="P72" s="252">
        <v>1403</v>
      </c>
      <c r="Q72" s="252">
        <v>2205</v>
      </c>
      <c r="R72" s="252">
        <v>1961</v>
      </c>
      <c r="S72" s="252">
        <v>5238</v>
      </c>
      <c r="T72" s="252">
        <v>5336</v>
      </c>
      <c r="U72" s="252">
        <v>33788</v>
      </c>
      <c r="V72" s="253">
        <v>34</v>
      </c>
      <c r="W72" s="254">
        <v>33822</v>
      </c>
      <c r="X72" s="252">
        <v>1599</v>
      </c>
      <c r="Y72" s="252">
        <v>5625</v>
      </c>
      <c r="Z72" s="253">
        <v>26564</v>
      </c>
      <c r="AA72" s="262">
        <v>4382</v>
      </c>
      <c r="AB72" s="272">
        <v>35097.194941093694</v>
      </c>
    </row>
    <row r="73" spans="1:28" ht="13.5" customHeight="1">
      <c r="A73" s="18">
        <v>17</v>
      </c>
      <c r="B73" s="19" t="s">
        <v>22</v>
      </c>
      <c r="C73" s="251">
        <v>830</v>
      </c>
      <c r="D73" s="252">
        <v>12</v>
      </c>
      <c r="E73" s="252">
        <v>237</v>
      </c>
      <c r="F73" s="252">
        <v>38</v>
      </c>
      <c r="G73" s="252">
        <v>249</v>
      </c>
      <c r="H73" s="252">
        <v>541</v>
      </c>
      <c r="I73" s="252">
        <v>9675</v>
      </c>
      <c r="J73" s="252">
        <v>1445</v>
      </c>
      <c r="K73" s="252">
        <v>920</v>
      </c>
      <c r="L73" s="252">
        <v>8489</v>
      </c>
      <c r="M73" s="252">
        <v>101</v>
      </c>
      <c r="N73" s="252">
        <v>121</v>
      </c>
      <c r="O73" s="252">
        <v>4173</v>
      </c>
      <c r="P73" s="252">
        <v>3708</v>
      </c>
      <c r="Q73" s="252">
        <v>3179</v>
      </c>
      <c r="R73" s="252">
        <v>4535</v>
      </c>
      <c r="S73" s="252">
        <v>1593</v>
      </c>
      <c r="T73" s="252">
        <v>4551</v>
      </c>
      <c r="U73" s="252">
        <v>44397</v>
      </c>
      <c r="V73" s="253">
        <v>45</v>
      </c>
      <c r="W73" s="254">
        <v>44442</v>
      </c>
      <c r="X73" s="252">
        <v>1079</v>
      </c>
      <c r="Y73" s="252">
        <v>9962</v>
      </c>
      <c r="Z73" s="253">
        <v>33356</v>
      </c>
      <c r="AA73" s="262">
        <v>4992</v>
      </c>
      <c r="AB73" s="272">
        <v>45929.983876449631</v>
      </c>
    </row>
    <row r="74" spans="1:28" ht="13.5" customHeight="1">
      <c r="A74" s="18">
        <v>18</v>
      </c>
      <c r="B74" s="19" t="s">
        <v>23</v>
      </c>
      <c r="C74" s="251">
        <v>859</v>
      </c>
      <c r="D74" s="252">
        <v>1</v>
      </c>
      <c r="E74" s="252">
        <v>165</v>
      </c>
      <c r="F74" s="252">
        <v>13</v>
      </c>
      <c r="G74" s="252">
        <v>201</v>
      </c>
      <c r="H74" s="252">
        <v>216</v>
      </c>
      <c r="I74" s="252">
        <v>1432</v>
      </c>
      <c r="J74" s="252">
        <v>417</v>
      </c>
      <c r="K74" s="252">
        <v>1178</v>
      </c>
      <c r="L74" s="252">
        <v>299</v>
      </c>
      <c r="M74" s="252">
        <v>1245</v>
      </c>
      <c r="N74" s="252">
        <v>29</v>
      </c>
      <c r="O74" s="252">
        <v>1424</v>
      </c>
      <c r="P74" s="252">
        <v>1255</v>
      </c>
      <c r="Q74" s="252">
        <v>1471</v>
      </c>
      <c r="R74" s="252">
        <v>1107</v>
      </c>
      <c r="S74" s="252">
        <v>1859</v>
      </c>
      <c r="T74" s="252">
        <v>843</v>
      </c>
      <c r="U74" s="252">
        <v>14014</v>
      </c>
      <c r="V74" s="253">
        <v>15</v>
      </c>
      <c r="W74" s="254">
        <v>14029</v>
      </c>
      <c r="X74" s="252">
        <v>1025</v>
      </c>
      <c r="Y74" s="252">
        <v>1646</v>
      </c>
      <c r="Z74" s="253">
        <v>11343</v>
      </c>
      <c r="AA74" s="262">
        <v>5135</v>
      </c>
      <c r="AB74" s="272">
        <v>14457.858410918974</v>
      </c>
    </row>
    <row r="75" spans="1:28" ht="13.5" customHeight="1">
      <c r="A75" s="18">
        <v>19</v>
      </c>
      <c r="B75" s="19" t="s">
        <v>24</v>
      </c>
      <c r="C75" s="251">
        <v>818</v>
      </c>
      <c r="D75" s="252">
        <v>0</v>
      </c>
      <c r="E75" s="252">
        <v>70</v>
      </c>
      <c r="F75" s="252">
        <v>13</v>
      </c>
      <c r="G75" s="252">
        <v>912</v>
      </c>
      <c r="H75" s="252">
        <v>9901</v>
      </c>
      <c r="I75" s="252">
        <v>4212</v>
      </c>
      <c r="J75" s="252">
        <v>1001</v>
      </c>
      <c r="K75" s="252">
        <v>1675</v>
      </c>
      <c r="L75" s="252">
        <v>1090</v>
      </c>
      <c r="M75" s="252">
        <v>191</v>
      </c>
      <c r="N75" s="252">
        <v>273</v>
      </c>
      <c r="O75" s="252">
        <v>3457</v>
      </c>
      <c r="P75" s="252">
        <v>475</v>
      </c>
      <c r="Q75" s="252">
        <v>2086</v>
      </c>
      <c r="R75" s="252">
        <v>1385</v>
      </c>
      <c r="S75" s="252">
        <v>4349</v>
      </c>
      <c r="T75" s="252">
        <v>1207</v>
      </c>
      <c r="U75" s="252">
        <v>33115</v>
      </c>
      <c r="V75" s="253">
        <v>33</v>
      </c>
      <c r="W75" s="254">
        <v>33148</v>
      </c>
      <c r="X75" s="252">
        <v>888</v>
      </c>
      <c r="Y75" s="252">
        <v>5137</v>
      </c>
      <c r="Z75" s="253">
        <v>27090</v>
      </c>
      <c r="AA75" s="262">
        <v>6135</v>
      </c>
      <c r="AB75" s="272">
        <v>37947.887636216532</v>
      </c>
    </row>
    <row r="76" spans="1:28" ht="13.5" customHeight="1">
      <c r="A76" s="20">
        <v>20</v>
      </c>
      <c r="B76" s="21" t="s">
        <v>25</v>
      </c>
      <c r="C76" s="255">
        <v>1870</v>
      </c>
      <c r="D76" s="256">
        <v>1</v>
      </c>
      <c r="E76" s="256">
        <v>178</v>
      </c>
      <c r="F76" s="256">
        <v>0</v>
      </c>
      <c r="G76" s="256">
        <v>646</v>
      </c>
      <c r="H76" s="256">
        <v>267</v>
      </c>
      <c r="I76" s="256">
        <v>1527</v>
      </c>
      <c r="J76" s="256">
        <v>608</v>
      </c>
      <c r="K76" s="256">
        <v>523</v>
      </c>
      <c r="L76" s="256">
        <v>551</v>
      </c>
      <c r="M76" s="256">
        <v>40</v>
      </c>
      <c r="N76" s="256">
        <v>30</v>
      </c>
      <c r="O76" s="256">
        <v>1163</v>
      </c>
      <c r="P76" s="256">
        <v>315</v>
      </c>
      <c r="Q76" s="256">
        <v>1191</v>
      </c>
      <c r="R76" s="256">
        <v>577</v>
      </c>
      <c r="S76" s="256">
        <v>738</v>
      </c>
      <c r="T76" s="256">
        <v>672</v>
      </c>
      <c r="U76" s="256">
        <v>10897</v>
      </c>
      <c r="V76" s="257">
        <v>11</v>
      </c>
      <c r="W76" s="258">
        <v>10908</v>
      </c>
      <c r="X76" s="256">
        <v>2049</v>
      </c>
      <c r="Y76" s="256">
        <v>2173</v>
      </c>
      <c r="Z76" s="257">
        <v>6675</v>
      </c>
      <c r="AA76" s="263">
        <v>4061</v>
      </c>
      <c r="AB76" s="273">
        <v>11316.702767136981</v>
      </c>
    </row>
    <row r="77" spans="1:28" ht="13.5" customHeight="1">
      <c r="A77" s="18">
        <v>21</v>
      </c>
      <c r="B77" s="19" t="s">
        <v>26</v>
      </c>
      <c r="C77" s="247">
        <v>1010</v>
      </c>
      <c r="D77" s="248">
        <v>3</v>
      </c>
      <c r="E77" s="248">
        <v>89</v>
      </c>
      <c r="F77" s="248">
        <v>85</v>
      </c>
      <c r="G77" s="248">
        <v>2312</v>
      </c>
      <c r="H77" s="248">
        <v>1663</v>
      </c>
      <c r="I77" s="248">
        <v>7224</v>
      </c>
      <c r="J77" s="248">
        <v>3446</v>
      </c>
      <c r="K77" s="248">
        <v>789</v>
      </c>
      <c r="L77" s="248">
        <v>2586</v>
      </c>
      <c r="M77" s="248">
        <v>26</v>
      </c>
      <c r="N77" s="248">
        <v>611</v>
      </c>
      <c r="O77" s="248">
        <v>13139</v>
      </c>
      <c r="P77" s="248">
        <v>1947</v>
      </c>
      <c r="Q77" s="248">
        <v>2917</v>
      </c>
      <c r="R77" s="248">
        <v>3776</v>
      </c>
      <c r="S77" s="248">
        <v>4476</v>
      </c>
      <c r="T77" s="248">
        <v>6084</v>
      </c>
      <c r="U77" s="248">
        <v>52183</v>
      </c>
      <c r="V77" s="249">
        <v>53</v>
      </c>
      <c r="W77" s="250">
        <v>52236</v>
      </c>
      <c r="X77" s="248">
        <v>1102</v>
      </c>
      <c r="Y77" s="248">
        <v>9621</v>
      </c>
      <c r="Z77" s="249">
        <v>41460</v>
      </c>
      <c r="AA77" s="261">
        <v>4388</v>
      </c>
      <c r="AB77" s="271">
        <v>53399.358464459605</v>
      </c>
    </row>
    <row r="78" spans="1:28" ht="13.5" customHeight="1">
      <c r="A78" s="18">
        <v>22</v>
      </c>
      <c r="B78" s="19" t="s">
        <v>27</v>
      </c>
      <c r="C78" s="251">
        <v>39</v>
      </c>
      <c r="D78" s="252">
        <v>0</v>
      </c>
      <c r="E78" s="252">
        <v>3</v>
      </c>
      <c r="F78" s="252">
        <v>8</v>
      </c>
      <c r="G78" s="252">
        <v>758</v>
      </c>
      <c r="H78" s="252">
        <v>752</v>
      </c>
      <c r="I78" s="252">
        <v>2550</v>
      </c>
      <c r="J78" s="252">
        <v>1657</v>
      </c>
      <c r="K78" s="252">
        <v>588</v>
      </c>
      <c r="L78" s="252">
        <v>1035</v>
      </c>
      <c r="M78" s="252">
        <v>837</v>
      </c>
      <c r="N78" s="252">
        <v>1084</v>
      </c>
      <c r="O78" s="252">
        <v>3974</v>
      </c>
      <c r="P78" s="252">
        <v>3137</v>
      </c>
      <c r="Q78" s="252">
        <v>9426</v>
      </c>
      <c r="R78" s="252">
        <v>1732</v>
      </c>
      <c r="S78" s="252">
        <v>3708</v>
      </c>
      <c r="T78" s="252">
        <v>1772</v>
      </c>
      <c r="U78" s="252">
        <v>33060</v>
      </c>
      <c r="V78" s="253">
        <v>33</v>
      </c>
      <c r="W78" s="254">
        <v>33093</v>
      </c>
      <c r="X78" s="252">
        <v>42</v>
      </c>
      <c r="Y78" s="252">
        <v>3316</v>
      </c>
      <c r="Z78" s="253">
        <v>29702</v>
      </c>
      <c r="AA78" s="262">
        <v>4249</v>
      </c>
      <c r="AB78" s="272">
        <v>33758.131780623</v>
      </c>
    </row>
    <row r="79" spans="1:28" ht="13.5" customHeight="1">
      <c r="A79" s="18">
        <v>23</v>
      </c>
      <c r="B79" s="19" t="s">
        <v>28</v>
      </c>
      <c r="C79" s="251">
        <v>2</v>
      </c>
      <c r="D79" s="252">
        <v>1</v>
      </c>
      <c r="E79" s="252">
        <v>63</v>
      </c>
      <c r="F79" s="252">
        <v>5</v>
      </c>
      <c r="G79" s="252">
        <v>572</v>
      </c>
      <c r="H79" s="252">
        <v>2871</v>
      </c>
      <c r="I79" s="252">
        <v>6911</v>
      </c>
      <c r="J79" s="252">
        <v>7745</v>
      </c>
      <c r="K79" s="252">
        <v>622</v>
      </c>
      <c r="L79" s="252">
        <v>5032</v>
      </c>
      <c r="M79" s="252">
        <v>3504</v>
      </c>
      <c r="N79" s="252">
        <v>2059</v>
      </c>
      <c r="O79" s="252">
        <v>13943</v>
      </c>
      <c r="P79" s="252">
        <v>6128</v>
      </c>
      <c r="Q79" s="252">
        <v>2866</v>
      </c>
      <c r="R79" s="252">
        <v>2764</v>
      </c>
      <c r="S79" s="252">
        <v>4734</v>
      </c>
      <c r="T79" s="252">
        <v>7054</v>
      </c>
      <c r="U79" s="252">
        <v>66876</v>
      </c>
      <c r="V79" s="253">
        <v>67</v>
      </c>
      <c r="W79" s="254">
        <v>66943</v>
      </c>
      <c r="X79" s="252">
        <v>66</v>
      </c>
      <c r="Y79" s="252">
        <v>7488</v>
      </c>
      <c r="Z79" s="253">
        <v>59322</v>
      </c>
      <c r="AA79" s="262">
        <v>5138</v>
      </c>
      <c r="AB79" s="272">
        <v>68536.624832194182</v>
      </c>
    </row>
    <row r="80" spans="1:28" ht="13.5" customHeight="1">
      <c r="A80" s="18">
        <v>24</v>
      </c>
      <c r="B80" s="19" t="s">
        <v>29</v>
      </c>
      <c r="C80" s="251">
        <v>35</v>
      </c>
      <c r="D80" s="252">
        <v>0</v>
      </c>
      <c r="E80" s="252">
        <v>74</v>
      </c>
      <c r="F80" s="252">
        <v>8</v>
      </c>
      <c r="G80" s="252">
        <v>256</v>
      </c>
      <c r="H80" s="252">
        <v>604</v>
      </c>
      <c r="I80" s="252">
        <v>2464</v>
      </c>
      <c r="J80" s="252">
        <v>2323</v>
      </c>
      <c r="K80" s="252">
        <v>887</v>
      </c>
      <c r="L80" s="252">
        <v>1565</v>
      </c>
      <c r="M80" s="252">
        <v>514</v>
      </c>
      <c r="N80" s="252">
        <v>503</v>
      </c>
      <c r="O80" s="252">
        <v>5692</v>
      </c>
      <c r="P80" s="252">
        <v>1791</v>
      </c>
      <c r="Q80" s="252">
        <v>1565</v>
      </c>
      <c r="R80" s="252">
        <v>2735</v>
      </c>
      <c r="S80" s="252">
        <v>5736</v>
      </c>
      <c r="T80" s="252">
        <v>1757</v>
      </c>
      <c r="U80" s="252">
        <v>28509</v>
      </c>
      <c r="V80" s="253">
        <v>28</v>
      </c>
      <c r="W80" s="254">
        <v>28537</v>
      </c>
      <c r="X80" s="252">
        <v>109</v>
      </c>
      <c r="Y80" s="252">
        <v>2728</v>
      </c>
      <c r="Z80" s="253">
        <v>25672</v>
      </c>
      <c r="AA80" s="262">
        <v>4543</v>
      </c>
      <c r="AB80" s="272">
        <v>29133.005795372301</v>
      </c>
    </row>
    <row r="81" spans="1:28" ht="13.5" customHeight="1">
      <c r="A81" s="18">
        <v>25</v>
      </c>
      <c r="B81" s="19" t="s">
        <v>30</v>
      </c>
      <c r="C81" s="251">
        <v>310</v>
      </c>
      <c r="D81" s="252">
        <v>0</v>
      </c>
      <c r="E81" s="252">
        <v>16</v>
      </c>
      <c r="F81" s="252">
        <v>151</v>
      </c>
      <c r="G81" s="252">
        <v>4564</v>
      </c>
      <c r="H81" s="252">
        <v>6496</v>
      </c>
      <c r="I81" s="252">
        <v>2954</v>
      </c>
      <c r="J81" s="252">
        <v>2982</v>
      </c>
      <c r="K81" s="252">
        <v>945</v>
      </c>
      <c r="L81" s="252">
        <v>550</v>
      </c>
      <c r="M81" s="252">
        <v>950</v>
      </c>
      <c r="N81" s="252">
        <v>256</v>
      </c>
      <c r="O81" s="252">
        <v>5850</v>
      </c>
      <c r="P81" s="252">
        <v>1633</v>
      </c>
      <c r="Q81" s="252">
        <v>1466</v>
      </c>
      <c r="R81" s="252">
        <v>1457</v>
      </c>
      <c r="S81" s="252">
        <v>8300</v>
      </c>
      <c r="T81" s="252">
        <v>3019</v>
      </c>
      <c r="U81" s="252">
        <v>41899</v>
      </c>
      <c r="V81" s="253">
        <v>42</v>
      </c>
      <c r="W81" s="254">
        <v>41941</v>
      </c>
      <c r="X81" s="252">
        <v>326</v>
      </c>
      <c r="Y81" s="252">
        <v>7669</v>
      </c>
      <c r="Z81" s="253">
        <v>33904</v>
      </c>
      <c r="AA81" s="262">
        <v>5711</v>
      </c>
      <c r="AB81" s="272">
        <v>46739.900836678986</v>
      </c>
    </row>
    <row r="82" spans="1:28" ht="13.5" customHeight="1">
      <c r="A82" s="20">
        <v>26</v>
      </c>
      <c r="B82" s="21" t="s">
        <v>31</v>
      </c>
      <c r="C82" s="255">
        <v>215</v>
      </c>
      <c r="D82" s="256">
        <v>1</v>
      </c>
      <c r="E82" s="256">
        <v>60</v>
      </c>
      <c r="F82" s="256">
        <v>23</v>
      </c>
      <c r="G82" s="256">
        <v>15133</v>
      </c>
      <c r="H82" s="256">
        <v>3753</v>
      </c>
      <c r="I82" s="256">
        <v>4485</v>
      </c>
      <c r="J82" s="256">
        <v>13013</v>
      </c>
      <c r="K82" s="256">
        <v>4398</v>
      </c>
      <c r="L82" s="256">
        <v>1953</v>
      </c>
      <c r="M82" s="256">
        <v>380</v>
      </c>
      <c r="N82" s="256">
        <v>870</v>
      </c>
      <c r="O82" s="256">
        <v>9431</v>
      </c>
      <c r="P82" s="256">
        <v>3952</v>
      </c>
      <c r="Q82" s="256">
        <v>2650</v>
      </c>
      <c r="R82" s="256">
        <v>19644</v>
      </c>
      <c r="S82" s="256">
        <v>14555</v>
      </c>
      <c r="T82" s="256">
        <v>5107</v>
      </c>
      <c r="U82" s="256">
        <v>99623</v>
      </c>
      <c r="V82" s="257">
        <v>100</v>
      </c>
      <c r="W82" s="258">
        <v>99723</v>
      </c>
      <c r="X82" s="256">
        <v>276</v>
      </c>
      <c r="Y82" s="256">
        <v>19641</v>
      </c>
      <c r="Z82" s="257">
        <v>79706</v>
      </c>
      <c r="AA82" s="263">
        <v>4949</v>
      </c>
      <c r="AB82" s="273">
        <v>102335.59993837702</v>
      </c>
    </row>
    <row r="83" spans="1:28" ht="13.5" customHeight="1">
      <c r="A83" s="18">
        <v>27</v>
      </c>
      <c r="B83" s="19" t="s">
        <v>32</v>
      </c>
      <c r="C83" s="247">
        <v>238</v>
      </c>
      <c r="D83" s="248">
        <v>0</v>
      </c>
      <c r="E83" s="248">
        <v>129</v>
      </c>
      <c r="F83" s="248">
        <v>0</v>
      </c>
      <c r="G83" s="248">
        <v>545</v>
      </c>
      <c r="H83" s="248">
        <v>611</v>
      </c>
      <c r="I83" s="248">
        <v>3137</v>
      </c>
      <c r="J83" s="248">
        <v>4219</v>
      </c>
      <c r="K83" s="248">
        <v>752</v>
      </c>
      <c r="L83" s="248">
        <v>1344</v>
      </c>
      <c r="M83" s="248">
        <v>251</v>
      </c>
      <c r="N83" s="248">
        <v>1565</v>
      </c>
      <c r="O83" s="248">
        <v>5346</v>
      </c>
      <c r="P83" s="248">
        <v>1183</v>
      </c>
      <c r="Q83" s="248">
        <v>2873</v>
      </c>
      <c r="R83" s="248">
        <v>2395</v>
      </c>
      <c r="S83" s="248">
        <v>5632</v>
      </c>
      <c r="T83" s="248">
        <v>1732</v>
      </c>
      <c r="U83" s="248">
        <v>31952</v>
      </c>
      <c r="V83" s="249">
        <v>32</v>
      </c>
      <c r="W83" s="250">
        <v>31984</v>
      </c>
      <c r="X83" s="248">
        <v>367</v>
      </c>
      <c r="Y83" s="248">
        <v>3682</v>
      </c>
      <c r="Z83" s="249">
        <v>27903</v>
      </c>
      <c r="AA83" s="261">
        <v>5214</v>
      </c>
      <c r="AB83" s="271">
        <v>32516.369590163664</v>
      </c>
    </row>
    <row r="84" spans="1:28" ht="13.5" customHeight="1">
      <c r="A84" s="18">
        <v>28</v>
      </c>
      <c r="B84" s="19" t="s">
        <v>33</v>
      </c>
      <c r="C84" s="251">
        <v>781</v>
      </c>
      <c r="D84" s="252">
        <v>11</v>
      </c>
      <c r="E84" s="252">
        <v>0</v>
      </c>
      <c r="F84" s="252">
        <v>13</v>
      </c>
      <c r="G84" s="252">
        <v>3617</v>
      </c>
      <c r="H84" s="252">
        <v>2098</v>
      </c>
      <c r="I84" s="252">
        <v>5874</v>
      </c>
      <c r="J84" s="252">
        <v>11830</v>
      </c>
      <c r="K84" s="252">
        <v>2743</v>
      </c>
      <c r="L84" s="252">
        <v>2544</v>
      </c>
      <c r="M84" s="252">
        <v>281</v>
      </c>
      <c r="N84" s="252">
        <v>1146</v>
      </c>
      <c r="O84" s="252">
        <v>8561</v>
      </c>
      <c r="P84" s="252">
        <v>3358</v>
      </c>
      <c r="Q84" s="252">
        <v>2714</v>
      </c>
      <c r="R84" s="252">
        <v>4891</v>
      </c>
      <c r="S84" s="252">
        <v>21475</v>
      </c>
      <c r="T84" s="252">
        <v>7404</v>
      </c>
      <c r="U84" s="252">
        <v>79341</v>
      </c>
      <c r="V84" s="253">
        <v>81</v>
      </c>
      <c r="W84" s="254">
        <v>79422</v>
      </c>
      <c r="X84" s="252">
        <v>792</v>
      </c>
      <c r="Y84" s="252">
        <v>9504</v>
      </c>
      <c r="Z84" s="253">
        <v>69045</v>
      </c>
      <c r="AA84" s="262">
        <v>4716</v>
      </c>
      <c r="AB84" s="272">
        <v>80954.88380124711</v>
      </c>
    </row>
    <row r="85" spans="1:28" ht="13.5" customHeight="1">
      <c r="A85" s="18">
        <v>29</v>
      </c>
      <c r="B85" s="19" t="s">
        <v>34</v>
      </c>
      <c r="C85" s="251">
        <v>5</v>
      </c>
      <c r="D85" s="252">
        <v>2</v>
      </c>
      <c r="E85" s="252">
        <v>21</v>
      </c>
      <c r="F85" s="252">
        <v>0</v>
      </c>
      <c r="G85" s="252">
        <v>16</v>
      </c>
      <c r="H85" s="252">
        <v>180</v>
      </c>
      <c r="I85" s="252">
        <v>230</v>
      </c>
      <c r="J85" s="252">
        <v>31</v>
      </c>
      <c r="K85" s="252">
        <v>252</v>
      </c>
      <c r="L85" s="252">
        <v>434</v>
      </c>
      <c r="M85" s="252">
        <v>0</v>
      </c>
      <c r="N85" s="252">
        <v>6</v>
      </c>
      <c r="O85" s="252">
        <v>109</v>
      </c>
      <c r="P85" s="252">
        <v>48</v>
      </c>
      <c r="Q85" s="252">
        <v>412</v>
      </c>
      <c r="R85" s="252">
        <v>314</v>
      </c>
      <c r="S85" s="252">
        <v>107</v>
      </c>
      <c r="T85" s="252">
        <v>622</v>
      </c>
      <c r="U85" s="252">
        <v>2789</v>
      </c>
      <c r="V85" s="253">
        <v>3</v>
      </c>
      <c r="W85" s="254">
        <v>2792</v>
      </c>
      <c r="X85" s="252">
        <v>28</v>
      </c>
      <c r="Y85" s="252">
        <v>246</v>
      </c>
      <c r="Z85" s="253">
        <v>2515</v>
      </c>
      <c r="AA85" s="262">
        <v>4864</v>
      </c>
      <c r="AB85" s="272">
        <v>2940.5116382714841</v>
      </c>
    </row>
    <row r="86" spans="1:28" ht="13.5" customHeight="1">
      <c r="A86" s="18">
        <v>30</v>
      </c>
      <c r="B86" s="19" t="s">
        <v>35</v>
      </c>
      <c r="C86" s="251">
        <v>2</v>
      </c>
      <c r="D86" s="252">
        <v>0</v>
      </c>
      <c r="E86" s="252">
        <v>28</v>
      </c>
      <c r="F86" s="252">
        <v>0</v>
      </c>
      <c r="G86" s="252">
        <v>25</v>
      </c>
      <c r="H86" s="252">
        <v>91</v>
      </c>
      <c r="I86" s="252">
        <v>169</v>
      </c>
      <c r="J86" s="252">
        <v>86</v>
      </c>
      <c r="K86" s="252">
        <v>229</v>
      </c>
      <c r="L86" s="252">
        <v>605</v>
      </c>
      <c r="M86" s="252">
        <v>0</v>
      </c>
      <c r="N86" s="252">
        <v>10</v>
      </c>
      <c r="O86" s="252">
        <v>208</v>
      </c>
      <c r="P86" s="252">
        <v>161</v>
      </c>
      <c r="Q86" s="252">
        <v>428</v>
      </c>
      <c r="R86" s="252">
        <v>515</v>
      </c>
      <c r="S86" s="252">
        <v>191</v>
      </c>
      <c r="T86" s="252">
        <v>818</v>
      </c>
      <c r="U86" s="252">
        <v>3566</v>
      </c>
      <c r="V86" s="253">
        <v>3</v>
      </c>
      <c r="W86" s="254">
        <v>3569</v>
      </c>
      <c r="X86" s="252">
        <v>30</v>
      </c>
      <c r="Y86" s="252">
        <v>194</v>
      </c>
      <c r="Z86" s="253">
        <v>3342</v>
      </c>
      <c r="AA86" s="262">
        <v>5747</v>
      </c>
      <c r="AB86" s="272">
        <v>3710.4962374969759</v>
      </c>
    </row>
    <row r="87" spans="1:28" ht="13.5" customHeight="1">
      <c r="A87" s="18">
        <v>31</v>
      </c>
      <c r="B87" s="19" t="s">
        <v>36</v>
      </c>
      <c r="C87" s="251">
        <v>49</v>
      </c>
      <c r="D87" s="252">
        <v>0</v>
      </c>
      <c r="E87" s="252">
        <v>5</v>
      </c>
      <c r="F87" s="252">
        <v>13</v>
      </c>
      <c r="G87" s="252">
        <v>108</v>
      </c>
      <c r="H87" s="252">
        <v>82</v>
      </c>
      <c r="I87" s="252">
        <v>192</v>
      </c>
      <c r="J87" s="252">
        <v>24</v>
      </c>
      <c r="K87" s="252">
        <v>146</v>
      </c>
      <c r="L87" s="252">
        <v>81</v>
      </c>
      <c r="M87" s="252">
        <v>0</v>
      </c>
      <c r="N87" s="252">
        <v>6</v>
      </c>
      <c r="O87" s="252">
        <v>205</v>
      </c>
      <c r="P87" s="252">
        <v>8</v>
      </c>
      <c r="Q87" s="252">
        <v>410</v>
      </c>
      <c r="R87" s="252">
        <v>238</v>
      </c>
      <c r="S87" s="252">
        <v>269</v>
      </c>
      <c r="T87" s="252">
        <v>78</v>
      </c>
      <c r="U87" s="252">
        <v>1914</v>
      </c>
      <c r="V87" s="253">
        <v>2</v>
      </c>
      <c r="W87" s="254">
        <v>1916</v>
      </c>
      <c r="X87" s="252">
        <v>54</v>
      </c>
      <c r="Y87" s="252">
        <v>313</v>
      </c>
      <c r="Z87" s="253">
        <v>1547</v>
      </c>
      <c r="AA87" s="262">
        <v>4595</v>
      </c>
      <c r="AB87" s="272">
        <v>1985.1015672072406</v>
      </c>
    </row>
    <row r="88" spans="1:28" ht="13.5" customHeight="1">
      <c r="A88" s="18">
        <v>32</v>
      </c>
      <c r="B88" s="19" t="s">
        <v>37</v>
      </c>
      <c r="C88" s="251">
        <v>3</v>
      </c>
      <c r="D88" s="252">
        <v>0</v>
      </c>
      <c r="E88" s="252">
        <v>73</v>
      </c>
      <c r="F88" s="252">
        <v>0</v>
      </c>
      <c r="G88" s="252">
        <v>0</v>
      </c>
      <c r="H88" s="252">
        <v>43</v>
      </c>
      <c r="I88" s="252">
        <v>333</v>
      </c>
      <c r="J88" s="252">
        <v>15</v>
      </c>
      <c r="K88" s="252">
        <v>34</v>
      </c>
      <c r="L88" s="252">
        <v>45</v>
      </c>
      <c r="M88" s="252">
        <v>0</v>
      </c>
      <c r="N88" s="252">
        <v>6</v>
      </c>
      <c r="O88" s="252">
        <v>66</v>
      </c>
      <c r="P88" s="252">
        <v>0</v>
      </c>
      <c r="Q88" s="252">
        <v>302</v>
      </c>
      <c r="R88" s="252">
        <v>183</v>
      </c>
      <c r="S88" s="252">
        <v>125</v>
      </c>
      <c r="T88" s="252">
        <v>16</v>
      </c>
      <c r="U88" s="252">
        <v>1244</v>
      </c>
      <c r="V88" s="253">
        <v>1</v>
      </c>
      <c r="W88" s="254">
        <v>1245</v>
      </c>
      <c r="X88" s="252">
        <v>76</v>
      </c>
      <c r="Y88" s="252">
        <v>333</v>
      </c>
      <c r="Z88" s="253">
        <v>835</v>
      </c>
      <c r="AA88" s="262">
        <v>4192</v>
      </c>
      <c r="AB88" s="272">
        <v>1307.4546675380043</v>
      </c>
    </row>
    <row r="89" spans="1:28" ht="13.5" customHeight="1">
      <c r="A89" s="18">
        <v>33</v>
      </c>
      <c r="B89" s="19" t="s">
        <v>38</v>
      </c>
      <c r="C89" s="251">
        <v>800</v>
      </c>
      <c r="D89" s="252">
        <v>0</v>
      </c>
      <c r="E89" s="252">
        <v>28</v>
      </c>
      <c r="F89" s="252">
        <v>36</v>
      </c>
      <c r="G89" s="252">
        <v>1201</v>
      </c>
      <c r="H89" s="252">
        <v>223</v>
      </c>
      <c r="I89" s="252">
        <v>941</v>
      </c>
      <c r="J89" s="252">
        <v>216</v>
      </c>
      <c r="K89" s="252">
        <v>82</v>
      </c>
      <c r="L89" s="252">
        <v>168</v>
      </c>
      <c r="M89" s="252">
        <v>0</v>
      </c>
      <c r="N89" s="252">
        <v>6</v>
      </c>
      <c r="O89" s="252">
        <v>116</v>
      </c>
      <c r="P89" s="252">
        <v>61</v>
      </c>
      <c r="Q89" s="252">
        <v>767</v>
      </c>
      <c r="R89" s="252">
        <v>297</v>
      </c>
      <c r="S89" s="252">
        <v>157</v>
      </c>
      <c r="T89" s="252">
        <v>174</v>
      </c>
      <c r="U89" s="252">
        <v>5273</v>
      </c>
      <c r="V89" s="253">
        <v>5</v>
      </c>
      <c r="W89" s="254">
        <v>5278</v>
      </c>
      <c r="X89" s="252">
        <v>828</v>
      </c>
      <c r="Y89" s="252">
        <v>2178</v>
      </c>
      <c r="Z89" s="253">
        <v>2267</v>
      </c>
      <c r="AA89" s="262">
        <v>4989</v>
      </c>
      <c r="AB89" s="272">
        <v>5521.3934566379294</v>
      </c>
    </row>
    <row r="90" spans="1:28" ht="13.5" customHeight="1">
      <c r="A90" s="18">
        <v>34</v>
      </c>
      <c r="B90" s="19" t="s">
        <v>39</v>
      </c>
      <c r="C90" s="251">
        <v>302</v>
      </c>
      <c r="D90" s="252">
        <v>0</v>
      </c>
      <c r="E90" s="252">
        <v>10</v>
      </c>
      <c r="F90" s="252">
        <v>0</v>
      </c>
      <c r="G90" s="252">
        <v>359</v>
      </c>
      <c r="H90" s="252">
        <v>73</v>
      </c>
      <c r="I90" s="252">
        <v>1918</v>
      </c>
      <c r="J90" s="252">
        <v>55</v>
      </c>
      <c r="K90" s="252">
        <v>104</v>
      </c>
      <c r="L90" s="252">
        <v>134</v>
      </c>
      <c r="M90" s="252">
        <v>0</v>
      </c>
      <c r="N90" s="252">
        <v>4</v>
      </c>
      <c r="O90" s="252">
        <v>31</v>
      </c>
      <c r="P90" s="252">
        <v>6</v>
      </c>
      <c r="Q90" s="252">
        <v>355</v>
      </c>
      <c r="R90" s="252">
        <v>242</v>
      </c>
      <c r="S90" s="252">
        <v>109</v>
      </c>
      <c r="T90" s="252">
        <v>52</v>
      </c>
      <c r="U90" s="252">
        <v>3754</v>
      </c>
      <c r="V90" s="253">
        <v>4</v>
      </c>
      <c r="W90" s="254">
        <v>3758</v>
      </c>
      <c r="X90" s="252">
        <v>312</v>
      </c>
      <c r="Y90" s="252">
        <v>2277</v>
      </c>
      <c r="Z90" s="253">
        <v>1165</v>
      </c>
      <c r="AA90" s="262">
        <v>6675</v>
      </c>
      <c r="AB90" s="272">
        <v>3920.1884733781299</v>
      </c>
    </row>
    <row r="91" spans="1:28" ht="13.5" customHeight="1">
      <c r="A91" s="18">
        <v>35</v>
      </c>
      <c r="B91" s="19" t="s">
        <v>40</v>
      </c>
      <c r="C91" s="251">
        <v>125</v>
      </c>
      <c r="D91" s="252">
        <v>1</v>
      </c>
      <c r="E91" s="252">
        <v>88</v>
      </c>
      <c r="F91" s="252">
        <v>0</v>
      </c>
      <c r="G91" s="252">
        <v>562</v>
      </c>
      <c r="H91" s="252">
        <v>105</v>
      </c>
      <c r="I91" s="252">
        <v>599</v>
      </c>
      <c r="J91" s="252">
        <v>192</v>
      </c>
      <c r="K91" s="252">
        <v>239</v>
      </c>
      <c r="L91" s="252">
        <v>104</v>
      </c>
      <c r="M91" s="252">
        <v>0</v>
      </c>
      <c r="N91" s="252">
        <v>6</v>
      </c>
      <c r="O91" s="252">
        <v>150</v>
      </c>
      <c r="P91" s="252">
        <v>115</v>
      </c>
      <c r="Q91" s="252">
        <v>605</v>
      </c>
      <c r="R91" s="252">
        <v>446</v>
      </c>
      <c r="S91" s="252">
        <v>160</v>
      </c>
      <c r="T91" s="252">
        <v>152</v>
      </c>
      <c r="U91" s="252">
        <v>3649</v>
      </c>
      <c r="V91" s="253">
        <v>4</v>
      </c>
      <c r="W91" s="254">
        <v>3653</v>
      </c>
      <c r="X91" s="252">
        <v>214</v>
      </c>
      <c r="Y91" s="252">
        <v>1161</v>
      </c>
      <c r="Z91" s="253">
        <v>2274</v>
      </c>
      <c r="AA91" s="262">
        <v>5018</v>
      </c>
      <c r="AB91" s="272">
        <v>3810.9400367305748</v>
      </c>
    </row>
    <row r="92" spans="1:28" ht="13.5" customHeight="1">
      <c r="A92" s="18">
        <v>36</v>
      </c>
      <c r="B92" s="19" t="s">
        <v>41</v>
      </c>
      <c r="C92" s="251">
        <v>369</v>
      </c>
      <c r="D92" s="252">
        <v>0</v>
      </c>
      <c r="E92" s="252">
        <v>118</v>
      </c>
      <c r="F92" s="252">
        <v>0</v>
      </c>
      <c r="G92" s="252">
        <v>173</v>
      </c>
      <c r="H92" s="252">
        <v>59</v>
      </c>
      <c r="I92" s="252">
        <v>465</v>
      </c>
      <c r="J92" s="252">
        <v>145</v>
      </c>
      <c r="K92" s="252">
        <v>410</v>
      </c>
      <c r="L92" s="252">
        <v>168</v>
      </c>
      <c r="M92" s="252">
        <v>0</v>
      </c>
      <c r="N92" s="252">
        <v>6</v>
      </c>
      <c r="O92" s="252">
        <v>284</v>
      </c>
      <c r="P92" s="252">
        <v>26</v>
      </c>
      <c r="Q92" s="252">
        <v>700</v>
      </c>
      <c r="R92" s="252">
        <v>334</v>
      </c>
      <c r="S92" s="252">
        <v>341</v>
      </c>
      <c r="T92" s="252">
        <v>178</v>
      </c>
      <c r="U92" s="252">
        <v>3776</v>
      </c>
      <c r="V92" s="253">
        <v>4</v>
      </c>
      <c r="W92" s="254">
        <v>3780</v>
      </c>
      <c r="X92" s="252">
        <v>487</v>
      </c>
      <c r="Y92" s="252">
        <v>638</v>
      </c>
      <c r="Z92" s="253">
        <v>2651</v>
      </c>
      <c r="AA92" s="262">
        <v>4266</v>
      </c>
      <c r="AB92" s="272">
        <v>3965.6385211865827</v>
      </c>
    </row>
    <row r="93" spans="1:28" ht="13.5" customHeight="1">
      <c r="A93" s="18">
        <v>37</v>
      </c>
      <c r="B93" s="19" t="s">
        <v>49</v>
      </c>
      <c r="C93" s="251">
        <v>1154</v>
      </c>
      <c r="D93" s="252">
        <v>0</v>
      </c>
      <c r="E93" s="252">
        <v>580</v>
      </c>
      <c r="F93" s="252">
        <v>13</v>
      </c>
      <c r="G93" s="252">
        <v>1706</v>
      </c>
      <c r="H93" s="252">
        <v>1089</v>
      </c>
      <c r="I93" s="252">
        <v>1518</v>
      </c>
      <c r="J93" s="252">
        <v>1151</v>
      </c>
      <c r="K93" s="252">
        <v>978</v>
      </c>
      <c r="L93" s="252">
        <v>1053</v>
      </c>
      <c r="M93" s="252">
        <v>0</v>
      </c>
      <c r="N93" s="252">
        <v>200</v>
      </c>
      <c r="O93" s="252">
        <v>1943</v>
      </c>
      <c r="P93" s="252">
        <v>722</v>
      </c>
      <c r="Q93" s="252">
        <v>3863</v>
      </c>
      <c r="R93" s="252">
        <v>1788</v>
      </c>
      <c r="S93" s="252">
        <v>1476</v>
      </c>
      <c r="T93" s="252">
        <v>1024</v>
      </c>
      <c r="U93" s="252">
        <v>20258</v>
      </c>
      <c r="V93" s="253">
        <v>20</v>
      </c>
      <c r="W93" s="254">
        <v>20278</v>
      </c>
      <c r="X93" s="252">
        <v>1734</v>
      </c>
      <c r="Y93" s="252">
        <v>3237</v>
      </c>
      <c r="Z93" s="253">
        <v>15287</v>
      </c>
      <c r="AA93" s="262">
        <v>4207</v>
      </c>
      <c r="AB93" s="272">
        <v>21139.005652750722</v>
      </c>
    </row>
    <row r="94" spans="1:28" ht="13.5" customHeight="1">
      <c r="A94" s="20">
        <v>38</v>
      </c>
      <c r="B94" s="21" t="s">
        <v>50</v>
      </c>
      <c r="C94" s="255">
        <v>3227</v>
      </c>
      <c r="D94" s="256">
        <v>0</v>
      </c>
      <c r="E94" s="256">
        <v>160</v>
      </c>
      <c r="F94" s="256">
        <v>38</v>
      </c>
      <c r="G94" s="256">
        <v>1401</v>
      </c>
      <c r="H94" s="256">
        <v>1332</v>
      </c>
      <c r="I94" s="256">
        <v>5504</v>
      </c>
      <c r="J94" s="256">
        <v>2972</v>
      </c>
      <c r="K94" s="256">
        <v>1388</v>
      </c>
      <c r="L94" s="256">
        <v>642</v>
      </c>
      <c r="M94" s="256">
        <v>55</v>
      </c>
      <c r="N94" s="256">
        <v>303</v>
      </c>
      <c r="O94" s="256">
        <v>7193</v>
      </c>
      <c r="P94" s="256">
        <v>1848</v>
      </c>
      <c r="Q94" s="256">
        <v>6597</v>
      </c>
      <c r="R94" s="256">
        <v>4689</v>
      </c>
      <c r="S94" s="256">
        <v>7920</v>
      </c>
      <c r="T94" s="256">
        <v>3123</v>
      </c>
      <c r="U94" s="256">
        <v>48392</v>
      </c>
      <c r="V94" s="257">
        <v>49</v>
      </c>
      <c r="W94" s="258">
        <v>48441</v>
      </c>
      <c r="X94" s="256">
        <v>3387</v>
      </c>
      <c r="Y94" s="256">
        <v>6943</v>
      </c>
      <c r="Z94" s="257">
        <v>38062</v>
      </c>
      <c r="AA94" s="263">
        <v>5223</v>
      </c>
      <c r="AB94" s="273">
        <v>49584.500949628855</v>
      </c>
    </row>
    <row r="95" spans="1:28" ht="13.5" customHeight="1">
      <c r="A95" s="20">
        <v>39</v>
      </c>
      <c r="B95" s="21" t="s">
        <v>42</v>
      </c>
      <c r="C95" s="243">
        <v>711</v>
      </c>
      <c r="D95" s="244">
        <v>0</v>
      </c>
      <c r="E95" s="244">
        <v>4</v>
      </c>
      <c r="F95" s="244">
        <v>0</v>
      </c>
      <c r="G95" s="244">
        <v>414</v>
      </c>
      <c r="H95" s="244">
        <v>84</v>
      </c>
      <c r="I95" s="244">
        <v>307</v>
      </c>
      <c r="J95" s="244">
        <v>106</v>
      </c>
      <c r="K95" s="244">
        <v>133</v>
      </c>
      <c r="L95" s="244">
        <v>81</v>
      </c>
      <c r="M95" s="244">
        <v>0</v>
      </c>
      <c r="N95" s="244">
        <v>6</v>
      </c>
      <c r="O95" s="244">
        <v>229</v>
      </c>
      <c r="P95" s="244">
        <v>37</v>
      </c>
      <c r="Q95" s="244">
        <v>602</v>
      </c>
      <c r="R95" s="244">
        <v>310</v>
      </c>
      <c r="S95" s="244">
        <v>154</v>
      </c>
      <c r="T95" s="244">
        <v>100</v>
      </c>
      <c r="U95" s="244">
        <v>3278</v>
      </c>
      <c r="V95" s="245">
        <v>3</v>
      </c>
      <c r="W95" s="246">
        <v>3281</v>
      </c>
      <c r="X95" s="244">
        <v>715</v>
      </c>
      <c r="Y95" s="244">
        <v>721</v>
      </c>
      <c r="Z95" s="245">
        <v>1842</v>
      </c>
      <c r="AA95" s="260">
        <v>4392</v>
      </c>
      <c r="AB95" s="270">
        <v>3388.3568178947571</v>
      </c>
    </row>
    <row r="96" spans="1:28" ht="13.5" customHeight="1">
      <c r="A96" s="18">
        <v>40</v>
      </c>
      <c r="B96" s="19" t="s">
        <v>43</v>
      </c>
      <c r="C96" s="247">
        <v>1034</v>
      </c>
      <c r="D96" s="248">
        <v>5</v>
      </c>
      <c r="E96" s="248">
        <v>32</v>
      </c>
      <c r="F96" s="248">
        <v>0</v>
      </c>
      <c r="G96" s="248">
        <v>722</v>
      </c>
      <c r="H96" s="248">
        <v>311</v>
      </c>
      <c r="I96" s="248">
        <v>1991</v>
      </c>
      <c r="J96" s="248">
        <v>346</v>
      </c>
      <c r="K96" s="248">
        <v>1211</v>
      </c>
      <c r="L96" s="248">
        <v>2358</v>
      </c>
      <c r="M96" s="248">
        <v>0</v>
      </c>
      <c r="N96" s="248">
        <v>46</v>
      </c>
      <c r="O96" s="248">
        <v>1062</v>
      </c>
      <c r="P96" s="248">
        <v>919</v>
      </c>
      <c r="Q96" s="248">
        <v>538</v>
      </c>
      <c r="R96" s="248">
        <v>1847</v>
      </c>
      <c r="S96" s="248">
        <v>427</v>
      </c>
      <c r="T96" s="248">
        <v>1887</v>
      </c>
      <c r="U96" s="248">
        <v>14736</v>
      </c>
      <c r="V96" s="249">
        <v>15</v>
      </c>
      <c r="W96" s="250">
        <v>14751</v>
      </c>
      <c r="X96" s="248">
        <v>1071</v>
      </c>
      <c r="Y96" s="248">
        <v>2713</v>
      </c>
      <c r="Z96" s="249">
        <v>10952</v>
      </c>
      <c r="AA96" s="261">
        <v>5308</v>
      </c>
      <c r="AB96" s="271">
        <v>15401.81754916311</v>
      </c>
    </row>
    <row r="97" spans="1:28" ht="13.5" customHeight="1">
      <c r="A97" s="20">
        <v>41</v>
      </c>
      <c r="B97" s="21" t="s">
        <v>44</v>
      </c>
      <c r="C97" s="255">
        <v>197</v>
      </c>
      <c r="D97" s="256">
        <v>0</v>
      </c>
      <c r="E97" s="256">
        <v>128</v>
      </c>
      <c r="F97" s="256">
        <v>5</v>
      </c>
      <c r="G97" s="256">
        <v>286</v>
      </c>
      <c r="H97" s="256">
        <v>244</v>
      </c>
      <c r="I97" s="256">
        <v>375</v>
      </c>
      <c r="J97" s="256">
        <v>174</v>
      </c>
      <c r="K97" s="256">
        <v>367</v>
      </c>
      <c r="L97" s="256">
        <v>363</v>
      </c>
      <c r="M97" s="256">
        <v>0</v>
      </c>
      <c r="N97" s="256">
        <v>10</v>
      </c>
      <c r="O97" s="256">
        <v>352</v>
      </c>
      <c r="P97" s="256">
        <v>123</v>
      </c>
      <c r="Q97" s="256">
        <v>781</v>
      </c>
      <c r="R97" s="256">
        <v>671</v>
      </c>
      <c r="S97" s="256">
        <v>367</v>
      </c>
      <c r="T97" s="256">
        <v>330</v>
      </c>
      <c r="U97" s="256">
        <v>4773</v>
      </c>
      <c r="V97" s="257">
        <v>5</v>
      </c>
      <c r="W97" s="258">
        <v>4778</v>
      </c>
      <c r="X97" s="256">
        <v>325</v>
      </c>
      <c r="Y97" s="256">
        <v>666</v>
      </c>
      <c r="Z97" s="257">
        <v>3782</v>
      </c>
      <c r="AA97" s="263">
        <v>3475</v>
      </c>
      <c r="AB97" s="273">
        <v>4977.1033588046912</v>
      </c>
    </row>
    <row r="98" spans="1:28" ht="15.75" customHeight="1">
      <c r="A98" s="111" t="s">
        <v>146</v>
      </c>
      <c r="B98" s="7" t="s">
        <v>152</v>
      </c>
      <c r="C98" s="247">
        <v>15091</v>
      </c>
      <c r="D98" s="248">
        <v>179</v>
      </c>
      <c r="E98" s="248">
        <v>1691</v>
      </c>
      <c r="F98" s="248">
        <v>1052</v>
      </c>
      <c r="G98" s="248">
        <v>20812</v>
      </c>
      <c r="H98" s="248">
        <v>18362</v>
      </c>
      <c r="I98" s="248">
        <v>38804</v>
      </c>
      <c r="J98" s="248">
        <v>21433</v>
      </c>
      <c r="K98" s="248">
        <v>11668</v>
      </c>
      <c r="L98" s="248">
        <v>24565</v>
      </c>
      <c r="M98" s="248">
        <v>3362</v>
      </c>
      <c r="N98" s="248">
        <v>5622</v>
      </c>
      <c r="O98" s="248">
        <v>36418</v>
      </c>
      <c r="P98" s="248">
        <v>21457</v>
      </c>
      <c r="Q98" s="248">
        <v>29551</v>
      </c>
      <c r="R98" s="248">
        <v>27842</v>
      </c>
      <c r="S98" s="248">
        <v>46369</v>
      </c>
      <c r="T98" s="248">
        <v>24430</v>
      </c>
      <c r="U98" s="248">
        <v>348708</v>
      </c>
      <c r="V98" s="249">
        <v>353</v>
      </c>
      <c r="W98" s="250">
        <v>349061</v>
      </c>
      <c r="X98" s="248">
        <v>16961</v>
      </c>
      <c r="Y98" s="248">
        <v>60668</v>
      </c>
      <c r="Z98" s="249">
        <v>271079</v>
      </c>
      <c r="AA98" s="261">
        <v>4996</v>
      </c>
      <c r="AB98" s="271">
        <v>362596.75525344588</v>
      </c>
    </row>
    <row r="99" spans="1:28" ht="15.75" customHeight="1">
      <c r="A99" s="112" t="s">
        <v>147</v>
      </c>
      <c r="B99" s="17" t="s">
        <v>153</v>
      </c>
      <c r="C99" s="251">
        <v>5686</v>
      </c>
      <c r="D99" s="252">
        <v>10</v>
      </c>
      <c r="E99" s="252">
        <v>1508</v>
      </c>
      <c r="F99" s="252">
        <v>1024</v>
      </c>
      <c r="G99" s="252">
        <v>73370</v>
      </c>
      <c r="H99" s="252">
        <v>70726</v>
      </c>
      <c r="I99" s="252">
        <v>91768</v>
      </c>
      <c r="J99" s="252">
        <v>175310</v>
      </c>
      <c r="K99" s="252">
        <v>54584</v>
      </c>
      <c r="L99" s="252">
        <v>47772</v>
      </c>
      <c r="M99" s="252">
        <v>64783</v>
      </c>
      <c r="N99" s="252">
        <v>32090</v>
      </c>
      <c r="O99" s="252">
        <v>197754</v>
      </c>
      <c r="P99" s="252">
        <v>119656</v>
      </c>
      <c r="Q99" s="252">
        <v>88359</v>
      </c>
      <c r="R99" s="252">
        <v>94746</v>
      </c>
      <c r="S99" s="252">
        <v>173491</v>
      </c>
      <c r="T99" s="252">
        <v>92096</v>
      </c>
      <c r="U99" s="252">
        <v>1384733</v>
      </c>
      <c r="V99" s="253">
        <v>1396</v>
      </c>
      <c r="W99" s="254">
        <v>1386129</v>
      </c>
      <c r="X99" s="252">
        <v>7204</v>
      </c>
      <c r="Y99" s="252">
        <v>166162</v>
      </c>
      <c r="Z99" s="253">
        <v>1211367</v>
      </c>
      <c r="AA99" s="262">
        <v>5582</v>
      </c>
      <c r="AB99" s="272">
        <v>1429441.9137475705</v>
      </c>
    </row>
    <row r="100" spans="1:28" ht="15.75" customHeight="1">
      <c r="A100" s="112" t="s">
        <v>148</v>
      </c>
      <c r="B100" s="17" t="s">
        <v>154</v>
      </c>
      <c r="C100" s="251">
        <v>14332</v>
      </c>
      <c r="D100" s="252">
        <v>18</v>
      </c>
      <c r="E100" s="252">
        <v>2270</v>
      </c>
      <c r="F100" s="252">
        <v>596</v>
      </c>
      <c r="G100" s="252">
        <v>38754</v>
      </c>
      <c r="H100" s="252">
        <v>14053</v>
      </c>
      <c r="I100" s="252">
        <v>45856</v>
      </c>
      <c r="J100" s="252">
        <v>49854</v>
      </c>
      <c r="K100" s="252">
        <v>23749</v>
      </c>
      <c r="L100" s="252">
        <v>15228</v>
      </c>
      <c r="M100" s="252">
        <v>5510</v>
      </c>
      <c r="N100" s="252">
        <v>6774</v>
      </c>
      <c r="O100" s="252">
        <v>66940</v>
      </c>
      <c r="P100" s="252">
        <v>29750</v>
      </c>
      <c r="Q100" s="252">
        <v>42165</v>
      </c>
      <c r="R100" s="252">
        <v>32976</v>
      </c>
      <c r="S100" s="252">
        <v>85143</v>
      </c>
      <c r="T100" s="252">
        <v>34884</v>
      </c>
      <c r="U100" s="252">
        <v>508852</v>
      </c>
      <c r="V100" s="253">
        <v>513</v>
      </c>
      <c r="W100" s="254">
        <v>509365</v>
      </c>
      <c r="X100" s="252">
        <v>16620</v>
      </c>
      <c r="Y100" s="252">
        <v>85206</v>
      </c>
      <c r="Z100" s="253">
        <v>407026</v>
      </c>
      <c r="AA100" s="262">
        <v>4935</v>
      </c>
      <c r="AB100" s="272">
        <v>522508.99061475409</v>
      </c>
    </row>
    <row r="101" spans="1:28" ht="15.75" customHeight="1">
      <c r="A101" s="112" t="s">
        <v>149</v>
      </c>
      <c r="B101" s="17" t="s">
        <v>155</v>
      </c>
      <c r="C101" s="251">
        <v>321</v>
      </c>
      <c r="D101" s="252">
        <v>23</v>
      </c>
      <c r="E101" s="252">
        <v>1697</v>
      </c>
      <c r="F101" s="252">
        <v>187</v>
      </c>
      <c r="G101" s="252">
        <v>13567</v>
      </c>
      <c r="H101" s="252">
        <v>24401</v>
      </c>
      <c r="I101" s="252">
        <v>49567</v>
      </c>
      <c r="J101" s="252">
        <v>118263</v>
      </c>
      <c r="K101" s="252">
        <v>128082</v>
      </c>
      <c r="L101" s="252">
        <v>50279</v>
      </c>
      <c r="M101" s="252">
        <v>109422</v>
      </c>
      <c r="N101" s="252">
        <v>89270</v>
      </c>
      <c r="O101" s="252">
        <v>126342</v>
      </c>
      <c r="P101" s="252">
        <v>145289</v>
      </c>
      <c r="Q101" s="252">
        <v>175745</v>
      </c>
      <c r="R101" s="252">
        <v>39000</v>
      </c>
      <c r="S101" s="252">
        <v>92616</v>
      </c>
      <c r="T101" s="252">
        <v>61231</v>
      </c>
      <c r="U101" s="252">
        <v>1225302</v>
      </c>
      <c r="V101" s="253">
        <v>1238</v>
      </c>
      <c r="W101" s="254">
        <v>1226540</v>
      </c>
      <c r="X101" s="252">
        <v>2041</v>
      </c>
      <c r="Y101" s="252">
        <v>63321</v>
      </c>
      <c r="Z101" s="253">
        <v>1159940</v>
      </c>
      <c r="AA101" s="262">
        <v>7151</v>
      </c>
      <c r="AB101" s="272">
        <v>1253591.4984146883</v>
      </c>
    </row>
    <row r="102" spans="1:28" ht="15.75" customHeight="1">
      <c r="A102" s="112" t="s">
        <v>150</v>
      </c>
      <c r="B102" s="17" t="s">
        <v>156</v>
      </c>
      <c r="C102" s="251">
        <v>8703</v>
      </c>
      <c r="D102" s="252">
        <v>37</v>
      </c>
      <c r="E102" s="252">
        <v>516</v>
      </c>
      <c r="F102" s="252">
        <v>118</v>
      </c>
      <c r="G102" s="252">
        <v>10588</v>
      </c>
      <c r="H102" s="252">
        <v>5591</v>
      </c>
      <c r="I102" s="252">
        <v>12617</v>
      </c>
      <c r="J102" s="252">
        <v>17199</v>
      </c>
      <c r="K102" s="252">
        <v>7510</v>
      </c>
      <c r="L102" s="252">
        <v>6532</v>
      </c>
      <c r="M102" s="252">
        <v>1804</v>
      </c>
      <c r="N102" s="252">
        <v>2361</v>
      </c>
      <c r="O102" s="252">
        <v>14776</v>
      </c>
      <c r="P102" s="252">
        <v>10024</v>
      </c>
      <c r="Q102" s="252">
        <v>18719</v>
      </c>
      <c r="R102" s="252">
        <v>10606</v>
      </c>
      <c r="S102" s="252">
        <v>17910</v>
      </c>
      <c r="T102" s="252">
        <v>6696</v>
      </c>
      <c r="U102" s="252">
        <v>152307</v>
      </c>
      <c r="V102" s="253">
        <v>153</v>
      </c>
      <c r="W102" s="254">
        <v>152460</v>
      </c>
      <c r="X102" s="252">
        <v>9256</v>
      </c>
      <c r="Y102" s="252">
        <v>23323</v>
      </c>
      <c r="Z102" s="253">
        <v>119728</v>
      </c>
      <c r="AA102" s="262">
        <v>5461</v>
      </c>
      <c r="AB102" s="272">
        <v>157504.34402972125</v>
      </c>
    </row>
    <row r="103" spans="1:28" ht="15.75" customHeight="1">
      <c r="A103" s="113" t="s">
        <v>151</v>
      </c>
      <c r="B103" s="105" t="s">
        <v>157</v>
      </c>
      <c r="C103" s="255">
        <v>6150</v>
      </c>
      <c r="D103" s="256">
        <v>26</v>
      </c>
      <c r="E103" s="256">
        <v>631</v>
      </c>
      <c r="F103" s="256">
        <v>226</v>
      </c>
      <c r="G103" s="256">
        <v>6120</v>
      </c>
      <c r="H103" s="256">
        <v>5906</v>
      </c>
      <c r="I103" s="256">
        <v>11574</v>
      </c>
      <c r="J103" s="256">
        <v>12056</v>
      </c>
      <c r="K103" s="256">
        <v>12506</v>
      </c>
      <c r="L103" s="256">
        <v>13067</v>
      </c>
      <c r="M103" s="256">
        <v>1219</v>
      </c>
      <c r="N103" s="256">
        <v>2583</v>
      </c>
      <c r="O103" s="256">
        <v>17414</v>
      </c>
      <c r="P103" s="256">
        <v>15464</v>
      </c>
      <c r="Q103" s="256">
        <v>17670</v>
      </c>
      <c r="R103" s="256">
        <v>11178</v>
      </c>
      <c r="S103" s="256">
        <v>13836</v>
      </c>
      <c r="T103" s="256">
        <v>9095</v>
      </c>
      <c r="U103" s="256">
        <v>156721</v>
      </c>
      <c r="V103" s="257">
        <v>159</v>
      </c>
      <c r="W103" s="258">
        <v>156880</v>
      </c>
      <c r="X103" s="256">
        <v>6807</v>
      </c>
      <c r="Y103" s="256">
        <v>17920</v>
      </c>
      <c r="Z103" s="257">
        <v>131994</v>
      </c>
      <c r="AA103" s="263">
        <v>5363</v>
      </c>
      <c r="AB103" s="273">
        <v>162992.37835002982</v>
      </c>
    </row>
    <row r="104" spans="1:28" ht="15.75" customHeight="1">
      <c r="A104" s="222" t="s">
        <v>293</v>
      </c>
      <c r="B104" s="25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15.75" customHeight="1">
      <c r="A105" s="222" t="s">
        <v>292</v>
      </c>
    </row>
    <row r="106" spans="1:28" ht="13.5" customHeight="1">
      <c r="A106" s="55">
        <f>A54+1</f>
        <v>25</v>
      </c>
      <c r="B106" s="50" t="str">
        <f>IF(A106&lt;22,"令和"&amp;A106&amp;"年度","平成"&amp;A106&amp;"年度")</f>
        <v>平成25年度</v>
      </c>
      <c r="C106" s="4" t="s">
        <v>75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1"/>
      <c r="Y106" s="2"/>
      <c r="Z106" s="57"/>
      <c r="AA106" s="57"/>
      <c r="AB106" s="57"/>
    </row>
    <row r="107" spans="1:28" ht="45" customHeight="1">
      <c r="A107" s="186"/>
      <c r="B107" s="76"/>
      <c r="C107" s="77" t="s">
        <v>51</v>
      </c>
      <c r="D107" s="77" t="s">
        <v>52</v>
      </c>
      <c r="E107" s="77" t="s">
        <v>53</v>
      </c>
      <c r="F107" s="77" t="s">
        <v>54</v>
      </c>
      <c r="G107" s="77" t="s">
        <v>55</v>
      </c>
      <c r="H107" s="77" t="s">
        <v>56</v>
      </c>
      <c r="I107" s="77" t="s">
        <v>57</v>
      </c>
      <c r="J107" s="77" t="s">
        <v>58</v>
      </c>
      <c r="K107" s="77" t="s">
        <v>59</v>
      </c>
      <c r="L107" s="77" t="s">
        <v>60</v>
      </c>
      <c r="M107" s="77" t="s">
        <v>61</v>
      </c>
      <c r="N107" s="77" t="s">
        <v>62</v>
      </c>
      <c r="O107" s="77" t="s">
        <v>63</v>
      </c>
      <c r="P107" s="77" t="s">
        <v>64</v>
      </c>
      <c r="Q107" s="77" t="s">
        <v>65</v>
      </c>
      <c r="R107" s="77" t="s">
        <v>66</v>
      </c>
      <c r="S107" s="77" t="s">
        <v>67</v>
      </c>
      <c r="T107" s="77" t="s">
        <v>68</v>
      </c>
      <c r="U107" s="77" t="s">
        <v>70</v>
      </c>
      <c r="V107" s="78" t="s">
        <v>69</v>
      </c>
      <c r="W107" s="79" t="s">
        <v>71</v>
      </c>
      <c r="X107" s="77" t="s">
        <v>72</v>
      </c>
      <c r="Y107" s="77" t="s">
        <v>73</v>
      </c>
      <c r="Z107" s="77" t="s">
        <v>74</v>
      </c>
      <c r="AA107" s="259" t="s">
        <v>277</v>
      </c>
      <c r="AB107" s="269" t="s">
        <v>278</v>
      </c>
    </row>
    <row r="108" spans="1:28" ht="13.5" customHeight="1">
      <c r="A108" s="153" t="s">
        <v>160</v>
      </c>
      <c r="B108" s="22" t="s">
        <v>0</v>
      </c>
      <c r="C108" s="243">
        <v>47093</v>
      </c>
      <c r="D108" s="244">
        <v>319</v>
      </c>
      <c r="E108" s="244">
        <v>8068</v>
      </c>
      <c r="F108" s="244">
        <v>3888</v>
      </c>
      <c r="G108" s="244">
        <v>172086</v>
      </c>
      <c r="H108" s="244">
        <v>147632</v>
      </c>
      <c r="I108" s="244">
        <v>302805</v>
      </c>
      <c r="J108" s="244">
        <v>414289</v>
      </c>
      <c r="K108" s="244">
        <v>250788</v>
      </c>
      <c r="L108" s="244">
        <v>164742</v>
      </c>
      <c r="M108" s="244">
        <v>192395</v>
      </c>
      <c r="N108" s="244">
        <v>144380</v>
      </c>
      <c r="O108" s="244">
        <v>461131</v>
      </c>
      <c r="P108" s="244">
        <v>358964</v>
      </c>
      <c r="Q108" s="244">
        <v>361687</v>
      </c>
      <c r="R108" s="244">
        <v>212453</v>
      </c>
      <c r="S108" s="244">
        <v>444631</v>
      </c>
      <c r="T108" s="244">
        <v>223995</v>
      </c>
      <c r="U108" s="244">
        <v>3911346</v>
      </c>
      <c r="V108" s="245">
        <v>2078</v>
      </c>
      <c r="W108" s="246">
        <v>3913424</v>
      </c>
      <c r="X108" s="244">
        <v>55480</v>
      </c>
      <c r="Y108" s="244">
        <v>478779</v>
      </c>
      <c r="Z108" s="245">
        <v>3377087</v>
      </c>
      <c r="AA108" s="260">
        <v>5955</v>
      </c>
      <c r="AB108" s="270">
        <v>4059749</v>
      </c>
    </row>
    <row r="109" spans="1:28" ht="13.5" customHeight="1">
      <c r="A109" s="16" t="s">
        <v>1</v>
      </c>
      <c r="B109" s="17" t="s">
        <v>2</v>
      </c>
      <c r="C109" s="247">
        <v>284</v>
      </c>
      <c r="D109" s="248">
        <v>27</v>
      </c>
      <c r="E109" s="248">
        <v>1727</v>
      </c>
      <c r="F109" s="248">
        <v>238</v>
      </c>
      <c r="G109" s="248">
        <v>13772</v>
      </c>
      <c r="H109" s="248">
        <v>23356</v>
      </c>
      <c r="I109" s="248">
        <v>53277</v>
      </c>
      <c r="J109" s="248">
        <v>122216</v>
      </c>
      <c r="K109" s="248">
        <v>140846</v>
      </c>
      <c r="L109" s="248">
        <v>51420</v>
      </c>
      <c r="M109" s="248">
        <v>107258</v>
      </c>
      <c r="N109" s="248">
        <v>92518</v>
      </c>
      <c r="O109" s="248">
        <v>127855</v>
      </c>
      <c r="P109" s="248">
        <v>151901</v>
      </c>
      <c r="Q109" s="248">
        <v>171258</v>
      </c>
      <c r="R109" s="248">
        <v>37562</v>
      </c>
      <c r="S109" s="248">
        <v>95875</v>
      </c>
      <c r="T109" s="248">
        <v>59828</v>
      </c>
      <c r="U109" s="248">
        <v>1251218</v>
      </c>
      <c r="V109" s="249">
        <v>666</v>
      </c>
      <c r="W109" s="250">
        <v>1251884</v>
      </c>
      <c r="X109" s="248">
        <v>2038</v>
      </c>
      <c r="Y109" s="248">
        <v>67287</v>
      </c>
      <c r="Z109" s="249">
        <v>1181893</v>
      </c>
      <c r="AA109" s="261">
        <v>7267</v>
      </c>
      <c r="AB109" s="271">
        <v>1290520.4825186261</v>
      </c>
    </row>
    <row r="110" spans="1:28" ht="13.5" customHeight="1">
      <c r="A110" s="18" t="s">
        <v>3</v>
      </c>
      <c r="B110" s="19" t="s">
        <v>4</v>
      </c>
      <c r="C110" s="251">
        <v>104</v>
      </c>
      <c r="D110" s="252">
        <v>0</v>
      </c>
      <c r="E110" s="252">
        <v>163</v>
      </c>
      <c r="F110" s="252">
        <v>387</v>
      </c>
      <c r="G110" s="252">
        <v>2632</v>
      </c>
      <c r="H110" s="252">
        <v>5790</v>
      </c>
      <c r="I110" s="252">
        <v>17965</v>
      </c>
      <c r="J110" s="252">
        <v>24243</v>
      </c>
      <c r="K110" s="252">
        <v>5060</v>
      </c>
      <c r="L110" s="252">
        <v>7943</v>
      </c>
      <c r="M110" s="252">
        <v>10271</v>
      </c>
      <c r="N110" s="252">
        <v>4449</v>
      </c>
      <c r="O110" s="252">
        <v>31623</v>
      </c>
      <c r="P110" s="252">
        <v>18102</v>
      </c>
      <c r="Q110" s="252">
        <v>9160</v>
      </c>
      <c r="R110" s="252">
        <v>11519</v>
      </c>
      <c r="S110" s="252">
        <v>19073</v>
      </c>
      <c r="T110" s="252">
        <v>14019</v>
      </c>
      <c r="U110" s="252">
        <v>182503</v>
      </c>
      <c r="V110" s="253">
        <v>97</v>
      </c>
      <c r="W110" s="254">
        <v>182600</v>
      </c>
      <c r="X110" s="252">
        <v>267</v>
      </c>
      <c r="Y110" s="252">
        <v>20984</v>
      </c>
      <c r="Z110" s="253">
        <v>161252</v>
      </c>
      <c r="AA110" s="262">
        <v>5444</v>
      </c>
      <c r="AB110" s="272">
        <v>187491.09291928494</v>
      </c>
    </row>
    <row r="111" spans="1:28" ht="13.5" customHeight="1">
      <c r="A111" s="18" t="s">
        <v>5</v>
      </c>
      <c r="B111" s="19" t="s">
        <v>6</v>
      </c>
      <c r="C111" s="251">
        <v>4875</v>
      </c>
      <c r="D111" s="252">
        <v>23</v>
      </c>
      <c r="E111" s="252">
        <v>464</v>
      </c>
      <c r="F111" s="252">
        <v>229</v>
      </c>
      <c r="G111" s="252">
        <v>5924</v>
      </c>
      <c r="H111" s="252">
        <v>5498</v>
      </c>
      <c r="I111" s="252">
        <v>11265</v>
      </c>
      <c r="J111" s="252">
        <v>12145</v>
      </c>
      <c r="K111" s="252">
        <v>14447</v>
      </c>
      <c r="L111" s="252">
        <v>11259</v>
      </c>
      <c r="M111" s="252">
        <v>1422</v>
      </c>
      <c r="N111" s="252">
        <v>2551</v>
      </c>
      <c r="O111" s="252">
        <v>15843</v>
      </c>
      <c r="P111" s="252">
        <v>14825</v>
      </c>
      <c r="Q111" s="252">
        <v>17166</v>
      </c>
      <c r="R111" s="252">
        <v>8558</v>
      </c>
      <c r="S111" s="252">
        <v>12301</v>
      </c>
      <c r="T111" s="252">
        <v>6700</v>
      </c>
      <c r="U111" s="252">
        <v>145495</v>
      </c>
      <c r="V111" s="253">
        <v>77</v>
      </c>
      <c r="W111" s="254">
        <v>145572</v>
      </c>
      <c r="X111" s="252">
        <v>5362</v>
      </c>
      <c r="Y111" s="252">
        <v>17418</v>
      </c>
      <c r="Z111" s="253">
        <v>122715</v>
      </c>
      <c r="AA111" s="262">
        <v>5673</v>
      </c>
      <c r="AB111" s="272">
        <v>152024.23605823517</v>
      </c>
    </row>
    <row r="112" spans="1:28" ht="13.5" customHeight="1">
      <c r="A112" s="18" t="s">
        <v>7</v>
      </c>
      <c r="B112" s="19" t="s">
        <v>8</v>
      </c>
      <c r="C112" s="251">
        <v>35</v>
      </c>
      <c r="D112" s="252">
        <v>2</v>
      </c>
      <c r="E112" s="252">
        <v>180</v>
      </c>
      <c r="F112" s="252">
        <v>136</v>
      </c>
      <c r="G112" s="252">
        <v>22398</v>
      </c>
      <c r="H112" s="252">
        <v>20859</v>
      </c>
      <c r="I112" s="252">
        <v>18383</v>
      </c>
      <c r="J112" s="252">
        <v>80130</v>
      </c>
      <c r="K112" s="252">
        <v>17562</v>
      </c>
      <c r="L112" s="252">
        <v>7593</v>
      </c>
      <c r="M112" s="252">
        <v>40884</v>
      </c>
      <c r="N112" s="252">
        <v>9546</v>
      </c>
      <c r="O112" s="252">
        <v>35051</v>
      </c>
      <c r="P112" s="252">
        <v>41139</v>
      </c>
      <c r="Q112" s="252">
        <v>12968</v>
      </c>
      <c r="R112" s="252">
        <v>16537</v>
      </c>
      <c r="S112" s="252">
        <v>37286</v>
      </c>
      <c r="T112" s="252">
        <v>16636</v>
      </c>
      <c r="U112" s="252">
        <v>377325</v>
      </c>
      <c r="V112" s="253">
        <v>200</v>
      </c>
      <c r="W112" s="254">
        <v>377525</v>
      </c>
      <c r="X112" s="252">
        <v>217</v>
      </c>
      <c r="Y112" s="252">
        <v>40917</v>
      </c>
      <c r="Z112" s="253">
        <v>336191</v>
      </c>
      <c r="AA112" s="262">
        <v>6832</v>
      </c>
      <c r="AB112" s="272">
        <v>389070.43187512911</v>
      </c>
    </row>
    <row r="113" spans="1:28" ht="13.5" customHeight="1">
      <c r="A113" s="16" t="s">
        <v>9</v>
      </c>
      <c r="B113" s="17" t="s">
        <v>10</v>
      </c>
      <c r="C113" s="251">
        <v>2981</v>
      </c>
      <c r="D113" s="252">
        <v>77</v>
      </c>
      <c r="E113" s="252">
        <v>249</v>
      </c>
      <c r="F113" s="252">
        <v>700</v>
      </c>
      <c r="G113" s="252">
        <v>16660</v>
      </c>
      <c r="H113" s="252">
        <v>5284</v>
      </c>
      <c r="I113" s="252">
        <v>12445</v>
      </c>
      <c r="J113" s="252">
        <v>15824</v>
      </c>
      <c r="K113" s="252">
        <v>4548</v>
      </c>
      <c r="L113" s="252">
        <v>9390</v>
      </c>
      <c r="M113" s="252">
        <v>2138</v>
      </c>
      <c r="N113" s="252">
        <v>4488</v>
      </c>
      <c r="O113" s="252">
        <v>17776</v>
      </c>
      <c r="P113" s="252">
        <v>12956</v>
      </c>
      <c r="Q113" s="252">
        <v>12972</v>
      </c>
      <c r="R113" s="252">
        <v>13207</v>
      </c>
      <c r="S113" s="252">
        <v>30628</v>
      </c>
      <c r="T113" s="252">
        <v>8855</v>
      </c>
      <c r="U113" s="252">
        <v>171178</v>
      </c>
      <c r="V113" s="253">
        <v>91</v>
      </c>
      <c r="W113" s="254">
        <v>171269</v>
      </c>
      <c r="X113" s="252">
        <v>3307</v>
      </c>
      <c r="Y113" s="252">
        <v>29805</v>
      </c>
      <c r="Z113" s="253">
        <v>138066</v>
      </c>
      <c r="AA113" s="262">
        <v>5472</v>
      </c>
      <c r="AB113" s="272">
        <v>176227.31856053902</v>
      </c>
    </row>
    <row r="114" spans="1:28" ht="13.5" customHeight="1">
      <c r="A114" s="18" t="s">
        <v>11</v>
      </c>
      <c r="B114" s="19" t="s">
        <v>12</v>
      </c>
      <c r="C114" s="251">
        <v>3224</v>
      </c>
      <c r="D114" s="252">
        <v>2</v>
      </c>
      <c r="E114" s="252">
        <v>312</v>
      </c>
      <c r="F114" s="252">
        <v>442</v>
      </c>
      <c r="G114" s="252">
        <v>20011</v>
      </c>
      <c r="H114" s="252">
        <v>3208</v>
      </c>
      <c r="I114" s="252">
        <v>10427</v>
      </c>
      <c r="J114" s="252">
        <v>11328</v>
      </c>
      <c r="K114" s="252">
        <v>5282</v>
      </c>
      <c r="L114" s="252">
        <v>4305</v>
      </c>
      <c r="M114" s="252">
        <v>516</v>
      </c>
      <c r="N114" s="252">
        <v>1622</v>
      </c>
      <c r="O114" s="252">
        <v>15450</v>
      </c>
      <c r="P114" s="252">
        <v>4584</v>
      </c>
      <c r="Q114" s="252">
        <v>7922</v>
      </c>
      <c r="R114" s="252">
        <v>7678</v>
      </c>
      <c r="S114" s="252">
        <v>19186</v>
      </c>
      <c r="T114" s="252">
        <v>8380</v>
      </c>
      <c r="U114" s="252">
        <v>123879</v>
      </c>
      <c r="V114" s="253">
        <v>65</v>
      </c>
      <c r="W114" s="254">
        <v>123944</v>
      </c>
      <c r="X114" s="252">
        <v>3538</v>
      </c>
      <c r="Y114" s="252">
        <v>30880</v>
      </c>
      <c r="Z114" s="253">
        <v>89461</v>
      </c>
      <c r="AA114" s="262">
        <v>4683</v>
      </c>
      <c r="AB114" s="272">
        <v>127683.04999439846</v>
      </c>
    </row>
    <row r="115" spans="1:28" ht="13.5" customHeight="1">
      <c r="A115" s="18" t="s">
        <v>13</v>
      </c>
      <c r="B115" s="19" t="s">
        <v>14</v>
      </c>
      <c r="C115" s="251">
        <v>1230</v>
      </c>
      <c r="D115" s="252">
        <v>2</v>
      </c>
      <c r="E115" s="252">
        <v>242</v>
      </c>
      <c r="F115" s="252">
        <v>114</v>
      </c>
      <c r="G115" s="252">
        <v>11695</v>
      </c>
      <c r="H115" s="252">
        <v>7573</v>
      </c>
      <c r="I115" s="252">
        <v>21199</v>
      </c>
      <c r="J115" s="252">
        <v>23915</v>
      </c>
      <c r="K115" s="252">
        <v>8290</v>
      </c>
      <c r="L115" s="252">
        <v>13450</v>
      </c>
      <c r="M115" s="252">
        <v>3317</v>
      </c>
      <c r="N115" s="252">
        <v>9765</v>
      </c>
      <c r="O115" s="252">
        <v>43426</v>
      </c>
      <c r="P115" s="252">
        <v>28300</v>
      </c>
      <c r="Q115" s="252">
        <v>24228</v>
      </c>
      <c r="R115" s="252">
        <v>19280</v>
      </c>
      <c r="S115" s="252">
        <v>50404</v>
      </c>
      <c r="T115" s="252">
        <v>20267</v>
      </c>
      <c r="U115" s="252">
        <v>286697</v>
      </c>
      <c r="V115" s="253">
        <v>153</v>
      </c>
      <c r="W115" s="254">
        <v>286850</v>
      </c>
      <c r="X115" s="252">
        <v>1474</v>
      </c>
      <c r="Y115" s="252">
        <v>33008</v>
      </c>
      <c r="Z115" s="253">
        <v>252215</v>
      </c>
      <c r="AA115" s="262">
        <v>5541</v>
      </c>
      <c r="AB115" s="272">
        <v>294254.91216403118</v>
      </c>
    </row>
    <row r="116" spans="1:28" ht="13.5" customHeight="1">
      <c r="A116" s="18" t="s">
        <v>15</v>
      </c>
      <c r="B116" s="19" t="s">
        <v>45</v>
      </c>
      <c r="C116" s="251">
        <v>1214</v>
      </c>
      <c r="D116" s="252">
        <v>3</v>
      </c>
      <c r="E116" s="252">
        <v>289</v>
      </c>
      <c r="F116" s="252">
        <v>68</v>
      </c>
      <c r="G116" s="252">
        <v>6719</v>
      </c>
      <c r="H116" s="252">
        <v>2908</v>
      </c>
      <c r="I116" s="252">
        <v>15119</v>
      </c>
      <c r="J116" s="252">
        <v>15764</v>
      </c>
      <c r="K116" s="252">
        <v>9180</v>
      </c>
      <c r="L116" s="252">
        <v>3167</v>
      </c>
      <c r="M116" s="252">
        <v>3597</v>
      </c>
      <c r="N116" s="252">
        <v>1566</v>
      </c>
      <c r="O116" s="252">
        <v>17338</v>
      </c>
      <c r="P116" s="252">
        <v>19403</v>
      </c>
      <c r="Q116" s="252">
        <v>5851</v>
      </c>
      <c r="R116" s="252">
        <v>6440</v>
      </c>
      <c r="S116" s="252">
        <v>22929</v>
      </c>
      <c r="T116" s="252">
        <v>6477</v>
      </c>
      <c r="U116" s="252">
        <v>138032</v>
      </c>
      <c r="V116" s="253">
        <v>73</v>
      </c>
      <c r="W116" s="254">
        <v>138105</v>
      </c>
      <c r="X116" s="252">
        <v>1506</v>
      </c>
      <c r="Y116" s="252">
        <v>21906</v>
      </c>
      <c r="Z116" s="253">
        <v>114620</v>
      </c>
      <c r="AA116" s="262">
        <v>6197</v>
      </c>
      <c r="AB116" s="272">
        <v>142753.81521683253</v>
      </c>
    </row>
    <row r="117" spans="1:28" ht="13.5" customHeight="1">
      <c r="A117" s="18" t="s">
        <v>16</v>
      </c>
      <c r="B117" s="19" t="s">
        <v>46</v>
      </c>
      <c r="C117" s="251">
        <v>2499</v>
      </c>
      <c r="D117" s="252">
        <v>1</v>
      </c>
      <c r="E117" s="252">
        <v>521</v>
      </c>
      <c r="F117" s="252">
        <v>198</v>
      </c>
      <c r="G117" s="252">
        <v>18458</v>
      </c>
      <c r="H117" s="252">
        <v>22500</v>
      </c>
      <c r="I117" s="252">
        <v>22859</v>
      </c>
      <c r="J117" s="252">
        <v>22772</v>
      </c>
      <c r="K117" s="252">
        <v>10216</v>
      </c>
      <c r="L117" s="252">
        <v>6780</v>
      </c>
      <c r="M117" s="252">
        <v>12236</v>
      </c>
      <c r="N117" s="252">
        <v>4355</v>
      </c>
      <c r="O117" s="252">
        <v>35608</v>
      </c>
      <c r="P117" s="252">
        <v>18571</v>
      </c>
      <c r="Q117" s="252">
        <v>18126</v>
      </c>
      <c r="R117" s="252">
        <v>13529</v>
      </c>
      <c r="S117" s="252">
        <v>29147</v>
      </c>
      <c r="T117" s="252">
        <v>16036</v>
      </c>
      <c r="U117" s="252">
        <v>254412</v>
      </c>
      <c r="V117" s="253">
        <v>135</v>
      </c>
      <c r="W117" s="254">
        <v>254547</v>
      </c>
      <c r="X117" s="252">
        <v>3021</v>
      </c>
      <c r="Y117" s="252">
        <v>41515</v>
      </c>
      <c r="Z117" s="253">
        <v>209876</v>
      </c>
      <c r="AA117" s="262">
        <v>6006</v>
      </c>
      <c r="AB117" s="272">
        <v>265986.58454089949</v>
      </c>
    </row>
    <row r="118" spans="1:28" ht="13.5" customHeight="1">
      <c r="A118" s="18">
        <v>10</v>
      </c>
      <c r="B118" s="19" t="s">
        <v>47</v>
      </c>
      <c r="C118" s="251">
        <v>7503</v>
      </c>
      <c r="D118" s="252">
        <v>40</v>
      </c>
      <c r="E118" s="252">
        <v>496</v>
      </c>
      <c r="F118" s="252">
        <v>152</v>
      </c>
      <c r="G118" s="252">
        <v>10229</v>
      </c>
      <c r="H118" s="252">
        <v>5671</v>
      </c>
      <c r="I118" s="252">
        <v>16420</v>
      </c>
      <c r="J118" s="252">
        <v>18543</v>
      </c>
      <c r="K118" s="252">
        <v>7256</v>
      </c>
      <c r="L118" s="252">
        <v>6900</v>
      </c>
      <c r="M118" s="252">
        <v>2012</v>
      </c>
      <c r="N118" s="252">
        <v>2370</v>
      </c>
      <c r="O118" s="252">
        <v>14453</v>
      </c>
      <c r="P118" s="252">
        <v>10382</v>
      </c>
      <c r="Q118" s="252">
        <v>17154</v>
      </c>
      <c r="R118" s="252">
        <v>10083</v>
      </c>
      <c r="S118" s="252">
        <v>18543</v>
      </c>
      <c r="T118" s="252">
        <v>6341</v>
      </c>
      <c r="U118" s="252">
        <v>154548</v>
      </c>
      <c r="V118" s="253">
        <v>82</v>
      </c>
      <c r="W118" s="254">
        <v>154630</v>
      </c>
      <c r="X118" s="252">
        <v>8039</v>
      </c>
      <c r="Y118" s="252">
        <v>26801</v>
      </c>
      <c r="Z118" s="253">
        <v>119708</v>
      </c>
      <c r="AA118" s="262">
        <v>5675</v>
      </c>
      <c r="AB118" s="272">
        <v>160625.69023859513</v>
      </c>
    </row>
    <row r="119" spans="1:28" ht="13.5" customHeight="1">
      <c r="A119" s="20">
        <v>11</v>
      </c>
      <c r="B119" s="21" t="s">
        <v>48</v>
      </c>
      <c r="C119" s="255">
        <v>2927</v>
      </c>
      <c r="D119" s="256">
        <v>1</v>
      </c>
      <c r="E119" s="256">
        <v>511</v>
      </c>
      <c r="F119" s="256">
        <v>84</v>
      </c>
      <c r="G119" s="256">
        <v>6871</v>
      </c>
      <c r="H119" s="256">
        <v>1995</v>
      </c>
      <c r="I119" s="256">
        <v>8318</v>
      </c>
      <c r="J119" s="256">
        <v>4192</v>
      </c>
      <c r="K119" s="256">
        <v>3351</v>
      </c>
      <c r="L119" s="256">
        <v>1389</v>
      </c>
      <c r="M119" s="256">
        <v>35</v>
      </c>
      <c r="N119" s="256">
        <v>463</v>
      </c>
      <c r="O119" s="256">
        <v>10461</v>
      </c>
      <c r="P119" s="256">
        <v>1707</v>
      </c>
      <c r="Q119" s="256">
        <v>8678</v>
      </c>
      <c r="R119" s="256">
        <v>3166</v>
      </c>
      <c r="S119" s="256">
        <v>7499</v>
      </c>
      <c r="T119" s="256">
        <v>4286</v>
      </c>
      <c r="U119" s="256">
        <v>65934</v>
      </c>
      <c r="V119" s="257">
        <v>35</v>
      </c>
      <c r="W119" s="258">
        <v>65969</v>
      </c>
      <c r="X119" s="256">
        <v>3439</v>
      </c>
      <c r="Y119" s="256">
        <v>15273</v>
      </c>
      <c r="Z119" s="257">
        <v>47222</v>
      </c>
      <c r="AA119" s="263">
        <v>4354</v>
      </c>
      <c r="AB119" s="273">
        <v>68160.275567118646</v>
      </c>
    </row>
    <row r="120" spans="1:28" ht="13.5" customHeight="1">
      <c r="A120" s="18">
        <v>12</v>
      </c>
      <c r="B120" s="19" t="s">
        <v>17</v>
      </c>
      <c r="C120" s="247">
        <v>1685</v>
      </c>
      <c r="D120" s="248">
        <v>78</v>
      </c>
      <c r="E120" s="248">
        <v>48</v>
      </c>
      <c r="F120" s="248">
        <v>102</v>
      </c>
      <c r="G120" s="248">
        <v>187</v>
      </c>
      <c r="H120" s="248">
        <v>365</v>
      </c>
      <c r="I120" s="248">
        <v>1251</v>
      </c>
      <c r="J120" s="248">
        <v>459</v>
      </c>
      <c r="K120" s="248">
        <v>319</v>
      </c>
      <c r="L120" s="248">
        <v>1280</v>
      </c>
      <c r="M120" s="248">
        <v>1</v>
      </c>
      <c r="N120" s="248">
        <v>152</v>
      </c>
      <c r="O120" s="248">
        <v>1124</v>
      </c>
      <c r="P120" s="248">
        <v>195</v>
      </c>
      <c r="Q120" s="248">
        <v>1467</v>
      </c>
      <c r="R120" s="248">
        <v>988</v>
      </c>
      <c r="S120" s="248">
        <v>853</v>
      </c>
      <c r="T120" s="248">
        <v>509</v>
      </c>
      <c r="U120" s="248">
        <v>11063</v>
      </c>
      <c r="V120" s="249">
        <v>6</v>
      </c>
      <c r="W120" s="250">
        <v>11069</v>
      </c>
      <c r="X120" s="248">
        <v>1811</v>
      </c>
      <c r="Y120" s="248">
        <v>1540</v>
      </c>
      <c r="Z120" s="249">
        <v>7712</v>
      </c>
      <c r="AA120" s="261">
        <v>3833</v>
      </c>
      <c r="AB120" s="271">
        <v>11549.758192546677</v>
      </c>
    </row>
    <row r="121" spans="1:28" ht="13.5" customHeight="1">
      <c r="A121" s="18">
        <v>13</v>
      </c>
      <c r="B121" s="19" t="s">
        <v>18</v>
      </c>
      <c r="C121" s="251">
        <v>1229</v>
      </c>
      <c r="D121" s="252">
        <v>8</v>
      </c>
      <c r="E121" s="252">
        <v>20</v>
      </c>
      <c r="F121" s="252">
        <v>0</v>
      </c>
      <c r="G121" s="252">
        <v>157</v>
      </c>
      <c r="H121" s="252">
        <v>193</v>
      </c>
      <c r="I121" s="252">
        <v>784</v>
      </c>
      <c r="J121" s="252">
        <v>181</v>
      </c>
      <c r="K121" s="252">
        <v>369</v>
      </c>
      <c r="L121" s="252">
        <v>70</v>
      </c>
      <c r="M121" s="252">
        <v>0</v>
      </c>
      <c r="N121" s="252">
        <v>4</v>
      </c>
      <c r="O121" s="252">
        <v>754</v>
      </c>
      <c r="P121" s="252">
        <v>192</v>
      </c>
      <c r="Q121" s="252">
        <v>815</v>
      </c>
      <c r="R121" s="252">
        <v>807</v>
      </c>
      <c r="S121" s="252">
        <v>825</v>
      </c>
      <c r="T121" s="252">
        <v>267</v>
      </c>
      <c r="U121" s="252">
        <v>6675</v>
      </c>
      <c r="V121" s="253">
        <v>4</v>
      </c>
      <c r="W121" s="254">
        <v>6679</v>
      </c>
      <c r="X121" s="252">
        <v>1257</v>
      </c>
      <c r="Y121" s="252">
        <v>941</v>
      </c>
      <c r="Z121" s="253">
        <v>4477</v>
      </c>
      <c r="AA121" s="262">
        <v>4009</v>
      </c>
      <c r="AB121" s="272">
        <v>7024.4944827178142</v>
      </c>
    </row>
    <row r="122" spans="1:28" ht="13.5" customHeight="1">
      <c r="A122" s="18">
        <v>14</v>
      </c>
      <c r="B122" s="19" t="s">
        <v>19</v>
      </c>
      <c r="C122" s="251">
        <v>878</v>
      </c>
      <c r="D122" s="252">
        <v>4</v>
      </c>
      <c r="E122" s="252">
        <v>25</v>
      </c>
      <c r="F122" s="252">
        <v>0</v>
      </c>
      <c r="G122" s="252">
        <v>323</v>
      </c>
      <c r="H122" s="252">
        <v>34</v>
      </c>
      <c r="I122" s="252">
        <v>1982</v>
      </c>
      <c r="J122" s="252">
        <v>101</v>
      </c>
      <c r="K122" s="252">
        <v>68</v>
      </c>
      <c r="L122" s="252">
        <v>144</v>
      </c>
      <c r="M122" s="252">
        <v>0</v>
      </c>
      <c r="N122" s="252">
        <v>10</v>
      </c>
      <c r="O122" s="252">
        <v>357</v>
      </c>
      <c r="P122" s="252">
        <v>920</v>
      </c>
      <c r="Q122" s="252">
        <v>671</v>
      </c>
      <c r="R122" s="252">
        <v>690</v>
      </c>
      <c r="S122" s="252">
        <v>221</v>
      </c>
      <c r="T122" s="252">
        <v>274</v>
      </c>
      <c r="U122" s="252">
        <v>6702</v>
      </c>
      <c r="V122" s="253">
        <v>3</v>
      </c>
      <c r="W122" s="254">
        <v>6705</v>
      </c>
      <c r="X122" s="252">
        <v>907</v>
      </c>
      <c r="Y122" s="252">
        <v>2305</v>
      </c>
      <c r="Z122" s="253">
        <v>3490</v>
      </c>
      <c r="AA122" s="262">
        <v>5399</v>
      </c>
      <c r="AB122" s="272">
        <v>7016.5628191002643</v>
      </c>
    </row>
    <row r="123" spans="1:28" ht="13.5" customHeight="1">
      <c r="A123" s="18">
        <v>15</v>
      </c>
      <c r="B123" s="19" t="s">
        <v>20</v>
      </c>
      <c r="C123" s="251">
        <v>1580</v>
      </c>
      <c r="D123" s="252">
        <v>8</v>
      </c>
      <c r="E123" s="252">
        <v>59</v>
      </c>
      <c r="F123" s="252">
        <v>0</v>
      </c>
      <c r="G123" s="252">
        <v>696</v>
      </c>
      <c r="H123" s="252">
        <v>329</v>
      </c>
      <c r="I123" s="252">
        <v>1966</v>
      </c>
      <c r="J123" s="252">
        <v>592</v>
      </c>
      <c r="K123" s="252">
        <v>442</v>
      </c>
      <c r="L123" s="252">
        <v>891</v>
      </c>
      <c r="M123" s="252">
        <v>37</v>
      </c>
      <c r="N123" s="252">
        <v>83</v>
      </c>
      <c r="O123" s="252">
        <v>1908</v>
      </c>
      <c r="P123" s="252">
        <v>662</v>
      </c>
      <c r="Q123" s="252">
        <v>1281</v>
      </c>
      <c r="R123" s="252">
        <v>1114</v>
      </c>
      <c r="S123" s="252">
        <v>1896</v>
      </c>
      <c r="T123" s="252">
        <v>1285</v>
      </c>
      <c r="U123" s="252">
        <v>14829</v>
      </c>
      <c r="V123" s="253">
        <v>8</v>
      </c>
      <c r="W123" s="254">
        <v>14837</v>
      </c>
      <c r="X123" s="252">
        <v>1647</v>
      </c>
      <c r="Y123" s="252">
        <v>2662</v>
      </c>
      <c r="Z123" s="253">
        <v>10520</v>
      </c>
      <c r="AA123" s="262">
        <v>3409</v>
      </c>
      <c r="AB123" s="272">
        <v>15406.106986379156</v>
      </c>
    </row>
    <row r="124" spans="1:28" ht="13.5" customHeight="1">
      <c r="A124" s="18">
        <v>16</v>
      </c>
      <c r="B124" s="19" t="s">
        <v>21</v>
      </c>
      <c r="C124" s="251">
        <v>1072</v>
      </c>
      <c r="D124" s="252">
        <v>2</v>
      </c>
      <c r="E124" s="252">
        <v>564</v>
      </c>
      <c r="F124" s="252">
        <v>501</v>
      </c>
      <c r="G124" s="252">
        <v>1516</v>
      </c>
      <c r="H124" s="252">
        <v>1046</v>
      </c>
      <c r="I124" s="252">
        <v>10445</v>
      </c>
      <c r="J124" s="252">
        <v>1693</v>
      </c>
      <c r="K124" s="252">
        <v>1112</v>
      </c>
      <c r="L124" s="252">
        <v>2848</v>
      </c>
      <c r="M124" s="252">
        <v>0</v>
      </c>
      <c r="N124" s="252">
        <v>498</v>
      </c>
      <c r="O124" s="252">
        <v>3551</v>
      </c>
      <c r="P124" s="252">
        <v>1637</v>
      </c>
      <c r="Q124" s="252">
        <v>2080</v>
      </c>
      <c r="R124" s="252">
        <v>1907</v>
      </c>
      <c r="S124" s="252">
        <v>4961</v>
      </c>
      <c r="T124" s="252">
        <v>5418</v>
      </c>
      <c r="U124" s="252">
        <v>40851</v>
      </c>
      <c r="V124" s="253">
        <v>22</v>
      </c>
      <c r="W124" s="254">
        <v>40873</v>
      </c>
      <c r="X124" s="252">
        <v>1638</v>
      </c>
      <c r="Y124" s="252">
        <v>12462</v>
      </c>
      <c r="Z124" s="253">
        <v>26751</v>
      </c>
      <c r="AA124" s="262">
        <v>5211</v>
      </c>
      <c r="AB124" s="272">
        <v>42470.581076686292</v>
      </c>
    </row>
    <row r="125" spans="1:28" ht="13.5" customHeight="1">
      <c r="A125" s="18">
        <v>17</v>
      </c>
      <c r="B125" s="19" t="s">
        <v>22</v>
      </c>
      <c r="C125" s="251">
        <v>715</v>
      </c>
      <c r="D125" s="252">
        <v>12</v>
      </c>
      <c r="E125" s="252">
        <v>238</v>
      </c>
      <c r="F125" s="252">
        <v>46</v>
      </c>
      <c r="G125" s="252">
        <v>627</v>
      </c>
      <c r="H125" s="252">
        <v>555</v>
      </c>
      <c r="I125" s="252">
        <v>6701</v>
      </c>
      <c r="J125" s="252">
        <v>1508</v>
      </c>
      <c r="K125" s="252">
        <v>904</v>
      </c>
      <c r="L125" s="252">
        <v>10154</v>
      </c>
      <c r="M125" s="252">
        <v>123</v>
      </c>
      <c r="N125" s="252">
        <v>128</v>
      </c>
      <c r="O125" s="252">
        <v>4313</v>
      </c>
      <c r="P125" s="252">
        <v>3841</v>
      </c>
      <c r="Q125" s="252">
        <v>3303</v>
      </c>
      <c r="R125" s="252">
        <v>5566</v>
      </c>
      <c r="S125" s="252">
        <v>1806</v>
      </c>
      <c r="T125" s="252">
        <v>4363</v>
      </c>
      <c r="U125" s="252">
        <v>44903</v>
      </c>
      <c r="V125" s="253">
        <v>24</v>
      </c>
      <c r="W125" s="254">
        <v>44927</v>
      </c>
      <c r="X125" s="252">
        <v>965</v>
      </c>
      <c r="Y125" s="252">
        <v>7374</v>
      </c>
      <c r="Z125" s="253">
        <v>36564</v>
      </c>
      <c r="AA125" s="262">
        <v>4834</v>
      </c>
      <c r="AB125" s="272">
        <v>46742.114915387559</v>
      </c>
    </row>
    <row r="126" spans="1:28" ht="13.5" customHeight="1">
      <c r="A126" s="18">
        <v>18</v>
      </c>
      <c r="B126" s="19" t="s">
        <v>23</v>
      </c>
      <c r="C126" s="251">
        <v>702</v>
      </c>
      <c r="D126" s="252">
        <v>1</v>
      </c>
      <c r="E126" s="252">
        <v>155</v>
      </c>
      <c r="F126" s="252">
        <v>15</v>
      </c>
      <c r="G126" s="252">
        <v>166</v>
      </c>
      <c r="H126" s="252">
        <v>447</v>
      </c>
      <c r="I126" s="252">
        <v>1181</v>
      </c>
      <c r="J126" s="252">
        <v>448</v>
      </c>
      <c r="K126" s="252">
        <v>1325</v>
      </c>
      <c r="L126" s="252">
        <v>314</v>
      </c>
      <c r="M126" s="252">
        <v>1466</v>
      </c>
      <c r="N126" s="252">
        <v>32</v>
      </c>
      <c r="O126" s="252">
        <v>1444</v>
      </c>
      <c r="P126" s="252">
        <v>1327</v>
      </c>
      <c r="Q126" s="252">
        <v>1412</v>
      </c>
      <c r="R126" s="252">
        <v>1123</v>
      </c>
      <c r="S126" s="252">
        <v>1979</v>
      </c>
      <c r="T126" s="252">
        <v>847</v>
      </c>
      <c r="U126" s="252">
        <v>14384</v>
      </c>
      <c r="V126" s="253">
        <v>7</v>
      </c>
      <c r="W126" s="254">
        <v>14391</v>
      </c>
      <c r="X126" s="252">
        <v>858</v>
      </c>
      <c r="Y126" s="252">
        <v>1362</v>
      </c>
      <c r="Z126" s="253">
        <v>12164</v>
      </c>
      <c r="AA126" s="262">
        <v>5231</v>
      </c>
      <c r="AB126" s="272">
        <v>14933.963276643739</v>
      </c>
    </row>
    <row r="127" spans="1:28" ht="13.5" customHeight="1">
      <c r="A127" s="18">
        <v>19</v>
      </c>
      <c r="B127" s="19" t="s">
        <v>24</v>
      </c>
      <c r="C127" s="251">
        <v>759</v>
      </c>
      <c r="D127" s="252">
        <v>0</v>
      </c>
      <c r="E127" s="252">
        <v>66</v>
      </c>
      <c r="F127" s="252">
        <v>15</v>
      </c>
      <c r="G127" s="252">
        <v>727</v>
      </c>
      <c r="H127" s="252">
        <v>10921</v>
      </c>
      <c r="I127" s="252">
        <v>3674</v>
      </c>
      <c r="J127" s="252">
        <v>1071</v>
      </c>
      <c r="K127" s="252">
        <v>1865</v>
      </c>
      <c r="L127" s="252">
        <v>1121</v>
      </c>
      <c r="M127" s="252">
        <v>247</v>
      </c>
      <c r="N127" s="252">
        <v>283</v>
      </c>
      <c r="O127" s="252">
        <v>3523</v>
      </c>
      <c r="P127" s="252">
        <v>476</v>
      </c>
      <c r="Q127" s="252">
        <v>2040</v>
      </c>
      <c r="R127" s="252">
        <v>1375</v>
      </c>
      <c r="S127" s="252">
        <v>4505</v>
      </c>
      <c r="T127" s="252">
        <v>1200</v>
      </c>
      <c r="U127" s="252">
        <v>33868</v>
      </c>
      <c r="V127" s="253">
        <v>18</v>
      </c>
      <c r="W127" s="254">
        <v>33886</v>
      </c>
      <c r="X127" s="252">
        <v>825</v>
      </c>
      <c r="Y127" s="252">
        <v>4416</v>
      </c>
      <c r="Z127" s="253">
        <v>28627</v>
      </c>
      <c r="AA127" s="262">
        <v>6190</v>
      </c>
      <c r="AB127" s="272">
        <v>37922.11450462653</v>
      </c>
    </row>
    <row r="128" spans="1:28" ht="13.5" customHeight="1">
      <c r="A128" s="20">
        <v>20</v>
      </c>
      <c r="B128" s="21" t="s">
        <v>25</v>
      </c>
      <c r="C128" s="255">
        <v>1718</v>
      </c>
      <c r="D128" s="256">
        <v>1</v>
      </c>
      <c r="E128" s="256">
        <v>133</v>
      </c>
      <c r="F128" s="256">
        <v>0</v>
      </c>
      <c r="G128" s="256">
        <v>572</v>
      </c>
      <c r="H128" s="256">
        <v>232</v>
      </c>
      <c r="I128" s="256">
        <v>1959</v>
      </c>
      <c r="J128" s="256">
        <v>658</v>
      </c>
      <c r="K128" s="256">
        <v>499</v>
      </c>
      <c r="L128" s="256">
        <v>556</v>
      </c>
      <c r="M128" s="256">
        <v>46</v>
      </c>
      <c r="N128" s="256">
        <v>24</v>
      </c>
      <c r="O128" s="256">
        <v>1144</v>
      </c>
      <c r="P128" s="256">
        <v>279</v>
      </c>
      <c r="Q128" s="256">
        <v>1179</v>
      </c>
      <c r="R128" s="256">
        <v>540</v>
      </c>
      <c r="S128" s="256">
        <v>755</v>
      </c>
      <c r="T128" s="256">
        <v>623</v>
      </c>
      <c r="U128" s="256">
        <v>10918</v>
      </c>
      <c r="V128" s="257">
        <v>6</v>
      </c>
      <c r="W128" s="258">
        <v>10924</v>
      </c>
      <c r="X128" s="256">
        <v>1852</v>
      </c>
      <c r="Y128" s="256">
        <v>2531</v>
      </c>
      <c r="Z128" s="257">
        <v>6535</v>
      </c>
      <c r="AA128" s="263">
        <v>3993</v>
      </c>
      <c r="AB128" s="273">
        <v>11438.19889459162</v>
      </c>
    </row>
    <row r="129" spans="1:28" ht="13.5" customHeight="1">
      <c r="A129" s="18">
        <v>21</v>
      </c>
      <c r="B129" s="19" t="s">
        <v>26</v>
      </c>
      <c r="C129" s="247">
        <v>917</v>
      </c>
      <c r="D129" s="248">
        <v>4</v>
      </c>
      <c r="E129" s="248">
        <v>73</v>
      </c>
      <c r="F129" s="248">
        <v>99</v>
      </c>
      <c r="G129" s="248">
        <v>4780</v>
      </c>
      <c r="H129" s="248">
        <v>1634</v>
      </c>
      <c r="I129" s="248">
        <v>6696</v>
      </c>
      <c r="J129" s="248">
        <v>3654</v>
      </c>
      <c r="K129" s="248">
        <v>822</v>
      </c>
      <c r="L129" s="248">
        <v>2670</v>
      </c>
      <c r="M129" s="248">
        <v>28</v>
      </c>
      <c r="N129" s="248">
        <v>640</v>
      </c>
      <c r="O129" s="248">
        <v>13047</v>
      </c>
      <c r="P129" s="248">
        <v>1891</v>
      </c>
      <c r="Q129" s="248">
        <v>3037</v>
      </c>
      <c r="R129" s="248">
        <v>3768</v>
      </c>
      <c r="S129" s="248">
        <v>5013</v>
      </c>
      <c r="T129" s="248">
        <v>6049</v>
      </c>
      <c r="U129" s="248">
        <v>54822</v>
      </c>
      <c r="V129" s="249">
        <v>29</v>
      </c>
      <c r="W129" s="250">
        <v>54851</v>
      </c>
      <c r="X129" s="248">
        <v>994</v>
      </c>
      <c r="Y129" s="248">
        <v>11575</v>
      </c>
      <c r="Z129" s="249">
        <v>42253</v>
      </c>
      <c r="AA129" s="261">
        <v>4546</v>
      </c>
      <c r="AB129" s="271">
        <v>56284.978202720202</v>
      </c>
    </row>
    <row r="130" spans="1:28" ht="13.5" customHeight="1">
      <c r="A130" s="18">
        <v>22</v>
      </c>
      <c r="B130" s="19" t="s">
        <v>27</v>
      </c>
      <c r="C130" s="251">
        <v>45</v>
      </c>
      <c r="D130" s="252">
        <v>0</v>
      </c>
      <c r="E130" s="252">
        <v>4</v>
      </c>
      <c r="F130" s="252">
        <v>6</v>
      </c>
      <c r="G130" s="252">
        <v>771</v>
      </c>
      <c r="H130" s="252">
        <v>757</v>
      </c>
      <c r="I130" s="252">
        <v>2215</v>
      </c>
      <c r="J130" s="252">
        <v>1655</v>
      </c>
      <c r="K130" s="252">
        <v>417</v>
      </c>
      <c r="L130" s="252">
        <v>1085</v>
      </c>
      <c r="M130" s="252">
        <v>842</v>
      </c>
      <c r="N130" s="252">
        <v>1195</v>
      </c>
      <c r="O130" s="252">
        <v>3941</v>
      </c>
      <c r="P130" s="252">
        <v>2866</v>
      </c>
      <c r="Q130" s="252">
        <v>9326</v>
      </c>
      <c r="R130" s="252">
        <v>1769</v>
      </c>
      <c r="S130" s="252">
        <v>3802</v>
      </c>
      <c r="T130" s="252">
        <v>1757</v>
      </c>
      <c r="U130" s="252">
        <v>32453</v>
      </c>
      <c r="V130" s="253">
        <v>17</v>
      </c>
      <c r="W130" s="254">
        <v>32470</v>
      </c>
      <c r="X130" s="252">
        <v>49</v>
      </c>
      <c r="Y130" s="252">
        <v>2992</v>
      </c>
      <c r="Z130" s="253">
        <v>29412</v>
      </c>
      <c r="AA130" s="262">
        <v>4201</v>
      </c>
      <c r="AB130" s="272">
        <v>33291.747678599524</v>
      </c>
    </row>
    <row r="131" spans="1:28" ht="13.5" customHeight="1">
      <c r="A131" s="18">
        <v>23</v>
      </c>
      <c r="B131" s="19" t="s">
        <v>28</v>
      </c>
      <c r="C131" s="251">
        <v>1</v>
      </c>
      <c r="D131" s="252">
        <v>1</v>
      </c>
      <c r="E131" s="252">
        <v>65</v>
      </c>
      <c r="F131" s="252">
        <v>9</v>
      </c>
      <c r="G131" s="252">
        <v>631</v>
      </c>
      <c r="H131" s="252">
        <v>2568</v>
      </c>
      <c r="I131" s="252">
        <v>13615</v>
      </c>
      <c r="J131" s="252">
        <v>8199</v>
      </c>
      <c r="K131" s="252">
        <v>832</v>
      </c>
      <c r="L131" s="252">
        <v>5271</v>
      </c>
      <c r="M131" s="252">
        <v>3231</v>
      </c>
      <c r="N131" s="252">
        <v>2294</v>
      </c>
      <c r="O131" s="252">
        <v>13889</v>
      </c>
      <c r="P131" s="252">
        <v>6401</v>
      </c>
      <c r="Q131" s="252">
        <v>2787</v>
      </c>
      <c r="R131" s="252">
        <v>2718</v>
      </c>
      <c r="S131" s="252">
        <v>5088</v>
      </c>
      <c r="T131" s="252">
        <v>6600</v>
      </c>
      <c r="U131" s="252">
        <v>74200</v>
      </c>
      <c r="V131" s="253">
        <v>40</v>
      </c>
      <c r="W131" s="254">
        <v>74240</v>
      </c>
      <c r="X131" s="252">
        <v>67</v>
      </c>
      <c r="Y131" s="252">
        <v>14255</v>
      </c>
      <c r="Z131" s="253">
        <v>59878</v>
      </c>
      <c r="AA131" s="262">
        <v>5613</v>
      </c>
      <c r="AB131" s="272">
        <v>76291.189920964869</v>
      </c>
    </row>
    <row r="132" spans="1:28" ht="13.5" customHeight="1">
      <c r="A132" s="18">
        <v>24</v>
      </c>
      <c r="B132" s="19" t="s">
        <v>29</v>
      </c>
      <c r="C132" s="251">
        <v>30</v>
      </c>
      <c r="D132" s="252">
        <v>0</v>
      </c>
      <c r="E132" s="252">
        <v>78</v>
      </c>
      <c r="F132" s="252">
        <v>6</v>
      </c>
      <c r="G132" s="252">
        <v>253</v>
      </c>
      <c r="H132" s="252">
        <v>579</v>
      </c>
      <c r="I132" s="252">
        <v>3116</v>
      </c>
      <c r="J132" s="252">
        <v>2514</v>
      </c>
      <c r="K132" s="252">
        <v>960</v>
      </c>
      <c r="L132" s="252">
        <v>1804</v>
      </c>
      <c r="M132" s="252">
        <v>570</v>
      </c>
      <c r="N132" s="252">
        <v>536</v>
      </c>
      <c r="O132" s="252">
        <v>5688</v>
      </c>
      <c r="P132" s="252">
        <v>1947</v>
      </c>
      <c r="Q132" s="252">
        <v>1408</v>
      </c>
      <c r="R132" s="252">
        <v>2738</v>
      </c>
      <c r="S132" s="252">
        <v>5902</v>
      </c>
      <c r="T132" s="252">
        <v>1719</v>
      </c>
      <c r="U132" s="252">
        <v>29848</v>
      </c>
      <c r="V132" s="253">
        <v>16</v>
      </c>
      <c r="W132" s="254">
        <v>29864</v>
      </c>
      <c r="X132" s="252">
        <v>108</v>
      </c>
      <c r="Y132" s="252">
        <v>3375</v>
      </c>
      <c r="Z132" s="253">
        <v>26365</v>
      </c>
      <c r="AA132" s="262">
        <v>4491</v>
      </c>
      <c r="AB132" s="272">
        <v>30614.078289412962</v>
      </c>
    </row>
    <row r="133" spans="1:28" ht="13.5" customHeight="1">
      <c r="A133" s="18">
        <v>25</v>
      </c>
      <c r="B133" s="19" t="s">
        <v>30</v>
      </c>
      <c r="C133" s="251">
        <v>295</v>
      </c>
      <c r="D133" s="252">
        <v>0</v>
      </c>
      <c r="E133" s="252">
        <v>13</v>
      </c>
      <c r="F133" s="252">
        <v>173</v>
      </c>
      <c r="G133" s="252">
        <v>3689</v>
      </c>
      <c r="H133" s="252">
        <v>13134</v>
      </c>
      <c r="I133" s="252">
        <v>3743</v>
      </c>
      <c r="J133" s="252">
        <v>3289</v>
      </c>
      <c r="K133" s="252">
        <v>1054</v>
      </c>
      <c r="L133" s="252">
        <v>603</v>
      </c>
      <c r="M133" s="252">
        <v>1065</v>
      </c>
      <c r="N133" s="252">
        <v>301</v>
      </c>
      <c r="O133" s="252">
        <v>6002</v>
      </c>
      <c r="P133" s="252">
        <v>1721</v>
      </c>
      <c r="Q133" s="252">
        <v>1396</v>
      </c>
      <c r="R133" s="252">
        <v>1475</v>
      </c>
      <c r="S133" s="252">
        <v>8292</v>
      </c>
      <c r="T133" s="252">
        <v>3014</v>
      </c>
      <c r="U133" s="252">
        <v>49259</v>
      </c>
      <c r="V133" s="253">
        <v>26</v>
      </c>
      <c r="W133" s="254">
        <v>49285</v>
      </c>
      <c r="X133" s="252">
        <v>308</v>
      </c>
      <c r="Y133" s="252">
        <v>7605</v>
      </c>
      <c r="Z133" s="253">
        <v>41346</v>
      </c>
      <c r="AA133" s="262">
        <v>6502</v>
      </c>
      <c r="AB133" s="272">
        <v>53958.193367631618</v>
      </c>
    </row>
    <row r="134" spans="1:28" ht="13.5" customHeight="1">
      <c r="A134" s="20">
        <v>26</v>
      </c>
      <c r="B134" s="21" t="s">
        <v>31</v>
      </c>
      <c r="C134" s="255">
        <v>196</v>
      </c>
      <c r="D134" s="256">
        <v>1</v>
      </c>
      <c r="E134" s="256">
        <v>60</v>
      </c>
      <c r="F134" s="256">
        <v>19</v>
      </c>
      <c r="G134" s="256">
        <v>8264</v>
      </c>
      <c r="H134" s="256">
        <v>3690</v>
      </c>
      <c r="I134" s="256">
        <v>4464</v>
      </c>
      <c r="J134" s="256">
        <v>13829</v>
      </c>
      <c r="K134" s="256">
        <v>4447</v>
      </c>
      <c r="L134" s="256">
        <v>1927</v>
      </c>
      <c r="M134" s="256">
        <v>398</v>
      </c>
      <c r="N134" s="256">
        <v>888</v>
      </c>
      <c r="O134" s="256">
        <v>9323</v>
      </c>
      <c r="P134" s="256">
        <v>3984</v>
      </c>
      <c r="Q134" s="256">
        <v>2437</v>
      </c>
      <c r="R134" s="256">
        <v>19283</v>
      </c>
      <c r="S134" s="256">
        <v>14837</v>
      </c>
      <c r="T134" s="256">
        <v>4844</v>
      </c>
      <c r="U134" s="256">
        <v>92891</v>
      </c>
      <c r="V134" s="257">
        <v>49</v>
      </c>
      <c r="W134" s="258">
        <v>92940</v>
      </c>
      <c r="X134" s="256">
        <v>257</v>
      </c>
      <c r="Y134" s="256">
        <v>12747</v>
      </c>
      <c r="Z134" s="257">
        <v>79887</v>
      </c>
      <c r="AA134" s="263">
        <v>4581</v>
      </c>
      <c r="AB134" s="273">
        <v>95809.730444545843</v>
      </c>
    </row>
    <row r="135" spans="1:28" ht="13.5" customHeight="1">
      <c r="A135" s="18">
        <v>27</v>
      </c>
      <c r="B135" s="19" t="s">
        <v>32</v>
      </c>
      <c r="C135" s="247">
        <v>215</v>
      </c>
      <c r="D135" s="248">
        <v>0</v>
      </c>
      <c r="E135" s="248">
        <v>135</v>
      </c>
      <c r="F135" s="248">
        <v>0</v>
      </c>
      <c r="G135" s="248">
        <v>624</v>
      </c>
      <c r="H135" s="248">
        <v>546</v>
      </c>
      <c r="I135" s="248">
        <v>3239</v>
      </c>
      <c r="J135" s="248">
        <v>4704</v>
      </c>
      <c r="K135" s="248">
        <v>705</v>
      </c>
      <c r="L135" s="248">
        <v>1288</v>
      </c>
      <c r="M135" s="248">
        <v>357</v>
      </c>
      <c r="N135" s="248">
        <v>1749</v>
      </c>
      <c r="O135" s="248">
        <v>5531</v>
      </c>
      <c r="P135" s="248">
        <v>1148</v>
      </c>
      <c r="Q135" s="248">
        <v>2800</v>
      </c>
      <c r="R135" s="248">
        <v>2344</v>
      </c>
      <c r="S135" s="248">
        <v>5874</v>
      </c>
      <c r="T135" s="248">
        <v>1707</v>
      </c>
      <c r="U135" s="248">
        <v>32966</v>
      </c>
      <c r="V135" s="249">
        <v>17</v>
      </c>
      <c r="W135" s="250">
        <v>32983</v>
      </c>
      <c r="X135" s="248">
        <v>350</v>
      </c>
      <c r="Y135" s="248">
        <v>3863</v>
      </c>
      <c r="Z135" s="249">
        <v>28753</v>
      </c>
      <c r="AA135" s="261">
        <v>5252</v>
      </c>
      <c r="AB135" s="271">
        <v>33687.821769494993</v>
      </c>
    </row>
    <row r="136" spans="1:28" ht="13.5" customHeight="1">
      <c r="A136" s="18">
        <v>28</v>
      </c>
      <c r="B136" s="19" t="s">
        <v>33</v>
      </c>
      <c r="C136" s="251">
        <v>650</v>
      </c>
      <c r="D136" s="252">
        <v>9</v>
      </c>
      <c r="E136" s="252">
        <v>0</v>
      </c>
      <c r="F136" s="252">
        <v>15</v>
      </c>
      <c r="G136" s="252">
        <v>3631</v>
      </c>
      <c r="H136" s="252">
        <v>2092</v>
      </c>
      <c r="I136" s="252">
        <v>6641</v>
      </c>
      <c r="J136" s="252">
        <v>12649</v>
      </c>
      <c r="K136" s="252">
        <v>2875</v>
      </c>
      <c r="L136" s="252">
        <v>2566</v>
      </c>
      <c r="M136" s="252">
        <v>251</v>
      </c>
      <c r="N136" s="252">
        <v>1227</v>
      </c>
      <c r="O136" s="252">
        <v>8658</v>
      </c>
      <c r="P136" s="252">
        <v>3618</v>
      </c>
      <c r="Q136" s="252">
        <v>2787</v>
      </c>
      <c r="R136" s="252">
        <v>4818</v>
      </c>
      <c r="S136" s="252">
        <v>22401</v>
      </c>
      <c r="T136" s="252">
        <v>7098</v>
      </c>
      <c r="U136" s="252">
        <v>81986</v>
      </c>
      <c r="V136" s="253">
        <v>44</v>
      </c>
      <c r="W136" s="254">
        <v>82030</v>
      </c>
      <c r="X136" s="252">
        <v>659</v>
      </c>
      <c r="Y136" s="252">
        <v>10287</v>
      </c>
      <c r="Z136" s="253">
        <v>71040</v>
      </c>
      <c r="AA136" s="262">
        <v>4799</v>
      </c>
      <c r="AB136" s="272">
        <v>83900.172060785189</v>
      </c>
    </row>
    <row r="137" spans="1:28" ht="13.5" customHeight="1">
      <c r="A137" s="18">
        <v>29</v>
      </c>
      <c r="B137" s="19" t="s">
        <v>34</v>
      </c>
      <c r="C137" s="251">
        <v>2</v>
      </c>
      <c r="D137" s="252">
        <v>3</v>
      </c>
      <c r="E137" s="252">
        <v>15</v>
      </c>
      <c r="F137" s="252">
        <v>0</v>
      </c>
      <c r="G137" s="252">
        <v>16</v>
      </c>
      <c r="H137" s="252">
        <v>153</v>
      </c>
      <c r="I137" s="252">
        <v>456</v>
      </c>
      <c r="J137" s="252">
        <v>28</v>
      </c>
      <c r="K137" s="252">
        <v>262</v>
      </c>
      <c r="L137" s="252">
        <v>466</v>
      </c>
      <c r="M137" s="252">
        <v>0</v>
      </c>
      <c r="N137" s="252">
        <v>5</v>
      </c>
      <c r="O137" s="252">
        <v>109</v>
      </c>
      <c r="P137" s="252">
        <v>46</v>
      </c>
      <c r="Q137" s="252">
        <v>435</v>
      </c>
      <c r="R137" s="252">
        <v>294</v>
      </c>
      <c r="S137" s="252">
        <v>131</v>
      </c>
      <c r="T137" s="252">
        <v>610</v>
      </c>
      <c r="U137" s="252">
        <v>3031</v>
      </c>
      <c r="V137" s="253">
        <v>2</v>
      </c>
      <c r="W137" s="254">
        <v>3033</v>
      </c>
      <c r="X137" s="252">
        <v>20</v>
      </c>
      <c r="Y137" s="252">
        <v>472</v>
      </c>
      <c r="Z137" s="253">
        <v>2539</v>
      </c>
      <c r="AA137" s="262">
        <v>5284</v>
      </c>
      <c r="AB137" s="272">
        <v>3192.4928482336659</v>
      </c>
    </row>
    <row r="138" spans="1:28" ht="13.5" customHeight="1">
      <c r="A138" s="18">
        <v>30</v>
      </c>
      <c r="B138" s="19" t="s">
        <v>35</v>
      </c>
      <c r="C138" s="251">
        <v>2</v>
      </c>
      <c r="D138" s="252">
        <v>0</v>
      </c>
      <c r="E138" s="252">
        <v>27</v>
      </c>
      <c r="F138" s="252">
        <v>0</v>
      </c>
      <c r="G138" s="252">
        <v>18</v>
      </c>
      <c r="H138" s="252">
        <v>83</v>
      </c>
      <c r="I138" s="252">
        <v>269</v>
      </c>
      <c r="J138" s="252">
        <v>94</v>
      </c>
      <c r="K138" s="252">
        <v>211</v>
      </c>
      <c r="L138" s="252">
        <v>656</v>
      </c>
      <c r="M138" s="252">
        <v>0</v>
      </c>
      <c r="N138" s="252">
        <v>9</v>
      </c>
      <c r="O138" s="252">
        <v>201</v>
      </c>
      <c r="P138" s="252">
        <v>151</v>
      </c>
      <c r="Q138" s="252">
        <v>436</v>
      </c>
      <c r="R138" s="252">
        <v>498</v>
      </c>
      <c r="S138" s="252">
        <v>198</v>
      </c>
      <c r="T138" s="252">
        <v>822</v>
      </c>
      <c r="U138" s="252">
        <v>3675</v>
      </c>
      <c r="V138" s="253">
        <v>2</v>
      </c>
      <c r="W138" s="254">
        <v>3677</v>
      </c>
      <c r="X138" s="252">
        <v>29</v>
      </c>
      <c r="Y138" s="252">
        <v>287</v>
      </c>
      <c r="Z138" s="253">
        <v>3359</v>
      </c>
      <c r="AA138" s="262">
        <v>5719</v>
      </c>
      <c r="AB138" s="272">
        <v>3836.7451265434656</v>
      </c>
    </row>
    <row r="139" spans="1:28" ht="13.5" customHeight="1">
      <c r="A139" s="18">
        <v>31</v>
      </c>
      <c r="B139" s="19" t="s">
        <v>36</v>
      </c>
      <c r="C139" s="251">
        <v>48</v>
      </c>
      <c r="D139" s="252">
        <v>0</v>
      </c>
      <c r="E139" s="252">
        <v>4</v>
      </c>
      <c r="F139" s="252">
        <v>15</v>
      </c>
      <c r="G139" s="252">
        <v>128</v>
      </c>
      <c r="H139" s="252">
        <v>87</v>
      </c>
      <c r="I139" s="252">
        <v>252</v>
      </c>
      <c r="J139" s="252">
        <v>25</v>
      </c>
      <c r="K139" s="252">
        <v>143</v>
      </c>
      <c r="L139" s="252">
        <v>80</v>
      </c>
      <c r="M139" s="252">
        <v>0</v>
      </c>
      <c r="N139" s="252">
        <v>4</v>
      </c>
      <c r="O139" s="252">
        <v>200</v>
      </c>
      <c r="P139" s="252">
        <v>10</v>
      </c>
      <c r="Q139" s="252">
        <v>419</v>
      </c>
      <c r="R139" s="252">
        <v>248</v>
      </c>
      <c r="S139" s="252">
        <v>345</v>
      </c>
      <c r="T139" s="252">
        <v>69</v>
      </c>
      <c r="U139" s="252">
        <v>2077</v>
      </c>
      <c r="V139" s="253">
        <v>1</v>
      </c>
      <c r="W139" s="254">
        <v>2078</v>
      </c>
      <c r="X139" s="252">
        <v>52</v>
      </c>
      <c r="Y139" s="252">
        <v>395</v>
      </c>
      <c r="Z139" s="253">
        <v>1630</v>
      </c>
      <c r="AA139" s="262">
        <v>4810</v>
      </c>
      <c r="AB139" s="272">
        <v>2159.6076331062068</v>
      </c>
    </row>
    <row r="140" spans="1:28" ht="13.5" customHeight="1">
      <c r="A140" s="18">
        <v>32</v>
      </c>
      <c r="B140" s="19" t="s">
        <v>37</v>
      </c>
      <c r="C140" s="251">
        <v>3</v>
      </c>
      <c r="D140" s="252">
        <v>0</v>
      </c>
      <c r="E140" s="252">
        <v>65</v>
      </c>
      <c r="F140" s="252">
        <v>0</v>
      </c>
      <c r="G140" s="252">
        <v>2</v>
      </c>
      <c r="H140" s="252">
        <v>44</v>
      </c>
      <c r="I140" s="252">
        <v>120</v>
      </c>
      <c r="J140" s="252">
        <v>16</v>
      </c>
      <c r="K140" s="252">
        <v>37</v>
      </c>
      <c r="L140" s="252">
        <v>48</v>
      </c>
      <c r="M140" s="252">
        <v>0</v>
      </c>
      <c r="N140" s="252">
        <v>5</v>
      </c>
      <c r="O140" s="252">
        <v>64</v>
      </c>
      <c r="P140" s="252">
        <v>0</v>
      </c>
      <c r="Q140" s="252">
        <v>284</v>
      </c>
      <c r="R140" s="252">
        <v>168</v>
      </c>
      <c r="S140" s="252">
        <v>124</v>
      </c>
      <c r="T140" s="252">
        <v>16</v>
      </c>
      <c r="U140" s="252">
        <v>996</v>
      </c>
      <c r="V140" s="253">
        <v>0</v>
      </c>
      <c r="W140" s="254">
        <v>996</v>
      </c>
      <c r="X140" s="252">
        <v>68</v>
      </c>
      <c r="Y140" s="252">
        <v>122</v>
      </c>
      <c r="Z140" s="253">
        <v>806</v>
      </c>
      <c r="AA140" s="262">
        <v>3182</v>
      </c>
      <c r="AB140" s="272">
        <v>1046.2292006351747</v>
      </c>
    </row>
    <row r="141" spans="1:28" ht="13.5" customHeight="1">
      <c r="A141" s="18">
        <v>33</v>
      </c>
      <c r="B141" s="19" t="s">
        <v>38</v>
      </c>
      <c r="C141" s="251">
        <v>657</v>
      </c>
      <c r="D141" s="252">
        <v>0</v>
      </c>
      <c r="E141" s="252">
        <v>24</v>
      </c>
      <c r="F141" s="252">
        <v>49</v>
      </c>
      <c r="G141" s="252">
        <v>1201</v>
      </c>
      <c r="H141" s="252">
        <v>235</v>
      </c>
      <c r="I141" s="252">
        <v>1897</v>
      </c>
      <c r="J141" s="252">
        <v>224</v>
      </c>
      <c r="K141" s="252">
        <v>87</v>
      </c>
      <c r="L141" s="252">
        <v>171</v>
      </c>
      <c r="M141" s="252">
        <v>0</v>
      </c>
      <c r="N141" s="252">
        <v>6</v>
      </c>
      <c r="O141" s="252">
        <v>115</v>
      </c>
      <c r="P141" s="252">
        <v>69</v>
      </c>
      <c r="Q141" s="252">
        <v>743</v>
      </c>
      <c r="R141" s="252">
        <v>281</v>
      </c>
      <c r="S141" s="252">
        <v>155</v>
      </c>
      <c r="T141" s="252">
        <v>159</v>
      </c>
      <c r="U141" s="252">
        <v>6073</v>
      </c>
      <c r="V141" s="253">
        <v>3</v>
      </c>
      <c r="W141" s="254">
        <v>6076</v>
      </c>
      <c r="X141" s="252">
        <v>681</v>
      </c>
      <c r="Y141" s="252">
        <v>3147</v>
      </c>
      <c r="Z141" s="253">
        <v>2245</v>
      </c>
      <c r="AA141" s="262">
        <v>5694</v>
      </c>
      <c r="AB141" s="272">
        <v>6395.4806998465683</v>
      </c>
    </row>
    <row r="142" spans="1:28" ht="13.5" customHeight="1">
      <c r="A142" s="18">
        <v>34</v>
      </c>
      <c r="B142" s="19" t="s">
        <v>39</v>
      </c>
      <c r="C142" s="251">
        <v>270</v>
      </c>
      <c r="D142" s="252">
        <v>0</v>
      </c>
      <c r="E142" s="252">
        <v>4</v>
      </c>
      <c r="F142" s="252">
        <v>0</v>
      </c>
      <c r="G142" s="252">
        <v>311</v>
      </c>
      <c r="H142" s="252">
        <v>80</v>
      </c>
      <c r="I142" s="252">
        <v>1977</v>
      </c>
      <c r="J142" s="252">
        <v>56</v>
      </c>
      <c r="K142" s="252">
        <v>104</v>
      </c>
      <c r="L142" s="252">
        <v>143</v>
      </c>
      <c r="M142" s="252">
        <v>0</v>
      </c>
      <c r="N142" s="252">
        <v>4</v>
      </c>
      <c r="O142" s="252">
        <v>33</v>
      </c>
      <c r="P142" s="252">
        <v>6</v>
      </c>
      <c r="Q142" s="252">
        <v>348</v>
      </c>
      <c r="R142" s="252">
        <v>237</v>
      </c>
      <c r="S142" s="252">
        <v>113</v>
      </c>
      <c r="T142" s="252">
        <v>48</v>
      </c>
      <c r="U142" s="252">
        <v>3734</v>
      </c>
      <c r="V142" s="253">
        <v>1</v>
      </c>
      <c r="W142" s="254">
        <v>3735</v>
      </c>
      <c r="X142" s="252">
        <v>274</v>
      </c>
      <c r="Y142" s="252">
        <v>2288</v>
      </c>
      <c r="Z142" s="253">
        <v>1172</v>
      </c>
      <c r="AA142" s="262">
        <v>6730</v>
      </c>
      <c r="AB142" s="272">
        <v>3902.0198640631543</v>
      </c>
    </row>
    <row r="143" spans="1:28" ht="13.5" customHeight="1">
      <c r="A143" s="18">
        <v>35</v>
      </c>
      <c r="B143" s="19" t="s">
        <v>40</v>
      </c>
      <c r="C143" s="251">
        <v>114</v>
      </c>
      <c r="D143" s="252">
        <v>2</v>
      </c>
      <c r="E143" s="252">
        <v>76</v>
      </c>
      <c r="F143" s="252">
        <v>0</v>
      </c>
      <c r="G143" s="252">
        <v>416</v>
      </c>
      <c r="H143" s="252">
        <v>95</v>
      </c>
      <c r="I143" s="252">
        <v>1223</v>
      </c>
      <c r="J143" s="252">
        <v>211</v>
      </c>
      <c r="K143" s="252">
        <v>279</v>
      </c>
      <c r="L143" s="252">
        <v>113</v>
      </c>
      <c r="M143" s="252">
        <v>0</v>
      </c>
      <c r="N143" s="252">
        <v>5</v>
      </c>
      <c r="O143" s="252">
        <v>147</v>
      </c>
      <c r="P143" s="252">
        <v>114</v>
      </c>
      <c r="Q143" s="252">
        <v>652</v>
      </c>
      <c r="R143" s="252">
        <v>462</v>
      </c>
      <c r="S143" s="252">
        <v>168</v>
      </c>
      <c r="T143" s="252">
        <v>163</v>
      </c>
      <c r="U143" s="252">
        <v>4240</v>
      </c>
      <c r="V143" s="253">
        <v>3</v>
      </c>
      <c r="W143" s="254">
        <v>4243</v>
      </c>
      <c r="X143" s="252">
        <v>192</v>
      </c>
      <c r="Y143" s="252">
        <v>1639</v>
      </c>
      <c r="Z143" s="253">
        <v>2409</v>
      </c>
      <c r="AA143" s="262">
        <v>5703</v>
      </c>
      <c r="AB143" s="272">
        <v>4439.4561404822216</v>
      </c>
    </row>
    <row r="144" spans="1:28" ht="13.5" customHeight="1">
      <c r="A144" s="18">
        <v>36</v>
      </c>
      <c r="B144" s="19" t="s">
        <v>41</v>
      </c>
      <c r="C144" s="251">
        <v>374</v>
      </c>
      <c r="D144" s="252">
        <v>0</v>
      </c>
      <c r="E144" s="252">
        <v>119</v>
      </c>
      <c r="F144" s="252">
        <v>0</v>
      </c>
      <c r="G144" s="252">
        <v>399</v>
      </c>
      <c r="H144" s="252">
        <v>48</v>
      </c>
      <c r="I144" s="252">
        <v>2486</v>
      </c>
      <c r="J144" s="252">
        <v>160</v>
      </c>
      <c r="K144" s="252">
        <v>403</v>
      </c>
      <c r="L144" s="252">
        <v>194</v>
      </c>
      <c r="M144" s="252">
        <v>0</v>
      </c>
      <c r="N144" s="252">
        <v>5</v>
      </c>
      <c r="O144" s="252">
        <v>276</v>
      </c>
      <c r="P144" s="252">
        <v>25</v>
      </c>
      <c r="Q144" s="252">
        <v>686</v>
      </c>
      <c r="R144" s="252">
        <v>328</v>
      </c>
      <c r="S144" s="252">
        <v>348</v>
      </c>
      <c r="T144" s="252">
        <v>168</v>
      </c>
      <c r="U144" s="252">
        <v>6019</v>
      </c>
      <c r="V144" s="253">
        <v>3</v>
      </c>
      <c r="W144" s="254">
        <v>6022</v>
      </c>
      <c r="X144" s="252">
        <v>493</v>
      </c>
      <c r="Y144" s="252">
        <v>2885</v>
      </c>
      <c r="Z144" s="253">
        <v>2641</v>
      </c>
      <c r="AA144" s="262">
        <v>6610</v>
      </c>
      <c r="AB144" s="272">
        <v>6334.6002044523475</v>
      </c>
    </row>
    <row r="145" spans="1:28" ht="13.5" customHeight="1">
      <c r="A145" s="18">
        <v>37</v>
      </c>
      <c r="B145" s="19" t="s">
        <v>49</v>
      </c>
      <c r="C145" s="251">
        <v>1155</v>
      </c>
      <c r="D145" s="252">
        <v>0</v>
      </c>
      <c r="E145" s="252">
        <v>553</v>
      </c>
      <c r="F145" s="252">
        <v>15</v>
      </c>
      <c r="G145" s="252">
        <v>3037</v>
      </c>
      <c r="H145" s="252">
        <v>1073</v>
      </c>
      <c r="I145" s="252">
        <v>1458</v>
      </c>
      <c r="J145" s="252">
        <v>1231</v>
      </c>
      <c r="K145" s="252">
        <v>984</v>
      </c>
      <c r="L145" s="252">
        <v>1088</v>
      </c>
      <c r="M145" s="252">
        <v>0</v>
      </c>
      <c r="N145" s="252">
        <v>205</v>
      </c>
      <c r="O145" s="252">
        <v>1956</v>
      </c>
      <c r="P145" s="252">
        <v>686</v>
      </c>
      <c r="Q145" s="252">
        <v>3768</v>
      </c>
      <c r="R145" s="252">
        <v>1778</v>
      </c>
      <c r="S145" s="252">
        <v>1661</v>
      </c>
      <c r="T145" s="252">
        <v>995</v>
      </c>
      <c r="U145" s="252">
        <v>21643</v>
      </c>
      <c r="V145" s="253">
        <v>11</v>
      </c>
      <c r="W145" s="254">
        <v>21654</v>
      </c>
      <c r="X145" s="252">
        <v>1708</v>
      </c>
      <c r="Y145" s="252">
        <v>4510</v>
      </c>
      <c r="Z145" s="253">
        <v>15425</v>
      </c>
      <c r="AA145" s="262">
        <v>4468</v>
      </c>
      <c r="AB145" s="272">
        <v>22709.474336824809</v>
      </c>
    </row>
    <row r="146" spans="1:28" ht="13.5" customHeight="1">
      <c r="A146" s="20">
        <v>38</v>
      </c>
      <c r="B146" s="21" t="s">
        <v>50</v>
      </c>
      <c r="C146" s="255">
        <v>3061</v>
      </c>
      <c r="D146" s="256">
        <v>0</v>
      </c>
      <c r="E146" s="256">
        <v>142</v>
      </c>
      <c r="F146" s="256">
        <v>46</v>
      </c>
      <c r="G146" s="256">
        <v>1693</v>
      </c>
      <c r="H146" s="256">
        <v>1307</v>
      </c>
      <c r="I146" s="256">
        <v>6317</v>
      </c>
      <c r="J146" s="256">
        <v>3319</v>
      </c>
      <c r="K146" s="256">
        <v>1343</v>
      </c>
      <c r="L146" s="256">
        <v>673</v>
      </c>
      <c r="M146" s="256">
        <v>47</v>
      </c>
      <c r="N146" s="256">
        <v>340</v>
      </c>
      <c r="O146" s="256">
        <v>7317</v>
      </c>
      <c r="P146" s="256">
        <v>1875</v>
      </c>
      <c r="Q146" s="256">
        <v>6302</v>
      </c>
      <c r="R146" s="256">
        <v>4765</v>
      </c>
      <c r="S146" s="256">
        <v>8510</v>
      </c>
      <c r="T146" s="256">
        <v>3188</v>
      </c>
      <c r="U146" s="256">
        <v>50245</v>
      </c>
      <c r="V146" s="257">
        <v>27</v>
      </c>
      <c r="W146" s="258">
        <v>50272</v>
      </c>
      <c r="X146" s="256">
        <v>3203</v>
      </c>
      <c r="Y146" s="256">
        <v>8056</v>
      </c>
      <c r="Z146" s="257">
        <v>38986</v>
      </c>
      <c r="AA146" s="263">
        <v>5252</v>
      </c>
      <c r="AB146" s="273">
        <v>51698.1232624923</v>
      </c>
    </row>
    <row r="147" spans="1:28" ht="13.5" customHeight="1">
      <c r="A147" s="20">
        <v>39</v>
      </c>
      <c r="B147" s="21" t="s">
        <v>42</v>
      </c>
      <c r="C147" s="243">
        <v>641</v>
      </c>
      <c r="D147" s="244">
        <v>0</v>
      </c>
      <c r="E147" s="244">
        <v>2</v>
      </c>
      <c r="F147" s="244">
        <v>0</v>
      </c>
      <c r="G147" s="244">
        <v>680</v>
      </c>
      <c r="H147" s="244">
        <v>83</v>
      </c>
      <c r="I147" s="244">
        <v>672</v>
      </c>
      <c r="J147" s="244">
        <v>115</v>
      </c>
      <c r="K147" s="244">
        <v>152</v>
      </c>
      <c r="L147" s="244">
        <v>91</v>
      </c>
      <c r="M147" s="244">
        <v>0</v>
      </c>
      <c r="N147" s="244">
        <v>6</v>
      </c>
      <c r="O147" s="244">
        <v>224</v>
      </c>
      <c r="P147" s="244">
        <v>37</v>
      </c>
      <c r="Q147" s="244">
        <v>616</v>
      </c>
      <c r="R147" s="244">
        <v>329</v>
      </c>
      <c r="S147" s="244">
        <v>156</v>
      </c>
      <c r="T147" s="244">
        <v>94</v>
      </c>
      <c r="U147" s="244">
        <v>3898</v>
      </c>
      <c r="V147" s="245">
        <v>3</v>
      </c>
      <c r="W147" s="246">
        <v>3901</v>
      </c>
      <c r="X147" s="244">
        <v>643</v>
      </c>
      <c r="Y147" s="244">
        <v>1352</v>
      </c>
      <c r="Z147" s="245">
        <v>1903</v>
      </c>
      <c r="AA147" s="260">
        <v>5201</v>
      </c>
      <c r="AB147" s="270">
        <v>4073.9722838421558</v>
      </c>
    </row>
    <row r="148" spans="1:28" ht="13.5" customHeight="1">
      <c r="A148" s="18">
        <v>40</v>
      </c>
      <c r="B148" s="19" t="s">
        <v>43</v>
      </c>
      <c r="C148" s="247">
        <v>1039</v>
      </c>
      <c r="D148" s="248">
        <v>7</v>
      </c>
      <c r="E148" s="248">
        <v>31</v>
      </c>
      <c r="F148" s="248">
        <v>0</v>
      </c>
      <c r="G148" s="248">
        <v>746</v>
      </c>
      <c r="H148" s="248">
        <v>320</v>
      </c>
      <c r="I148" s="248">
        <v>3092</v>
      </c>
      <c r="J148" s="248">
        <v>359</v>
      </c>
      <c r="K148" s="248">
        <v>1309</v>
      </c>
      <c r="L148" s="248">
        <v>2424</v>
      </c>
      <c r="M148" s="248">
        <v>0</v>
      </c>
      <c r="N148" s="248">
        <v>38</v>
      </c>
      <c r="O148" s="248">
        <v>1061</v>
      </c>
      <c r="P148" s="248">
        <v>836</v>
      </c>
      <c r="Q148" s="248">
        <v>521</v>
      </c>
      <c r="R148" s="248">
        <v>1805</v>
      </c>
      <c r="S148" s="248">
        <v>456</v>
      </c>
      <c r="T148" s="248">
        <v>1962</v>
      </c>
      <c r="U148" s="248">
        <v>16006</v>
      </c>
      <c r="V148" s="249">
        <v>9</v>
      </c>
      <c r="W148" s="250">
        <v>16015</v>
      </c>
      <c r="X148" s="248">
        <v>1077</v>
      </c>
      <c r="Y148" s="248">
        <v>3838</v>
      </c>
      <c r="Z148" s="249">
        <v>11091</v>
      </c>
      <c r="AA148" s="261">
        <v>5665</v>
      </c>
      <c r="AB148" s="271">
        <v>16834.460748477766</v>
      </c>
    </row>
    <row r="149" spans="1:28" ht="13.5" customHeight="1">
      <c r="A149" s="20">
        <v>41</v>
      </c>
      <c r="B149" s="21" t="s">
        <v>44</v>
      </c>
      <c r="C149" s="255">
        <v>164</v>
      </c>
      <c r="D149" s="256">
        <v>0</v>
      </c>
      <c r="E149" s="256">
        <v>116</v>
      </c>
      <c r="F149" s="256">
        <v>9</v>
      </c>
      <c r="G149" s="256">
        <v>456</v>
      </c>
      <c r="H149" s="256">
        <v>260</v>
      </c>
      <c r="I149" s="256">
        <v>1237</v>
      </c>
      <c r="J149" s="256">
        <v>175</v>
      </c>
      <c r="K149" s="256">
        <v>421</v>
      </c>
      <c r="L149" s="256">
        <v>407</v>
      </c>
      <c r="M149" s="256">
        <v>0</v>
      </c>
      <c r="N149" s="256">
        <v>11</v>
      </c>
      <c r="O149" s="256">
        <v>347</v>
      </c>
      <c r="P149" s="256">
        <v>134</v>
      </c>
      <c r="Q149" s="256">
        <v>768</v>
      </c>
      <c r="R149" s="256">
        <v>678</v>
      </c>
      <c r="S149" s="256">
        <v>385</v>
      </c>
      <c r="T149" s="256">
        <v>302</v>
      </c>
      <c r="U149" s="256">
        <v>5870</v>
      </c>
      <c r="V149" s="257">
        <v>3</v>
      </c>
      <c r="W149" s="258">
        <v>5873</v>
      </c>
      <c r="X149" s="256">
        <v>280</v>
      </c>
      <c r="Y149" s="256">
        <v>1702</v>
      </c>
      <c r="Z149" s="257">
        <v>3888</v>
      </c>
      <c r="AA149" s="263">
        <v>3995</v>
      </c>
      <c r="AB149" s="273">
        <v>6131.8927871198839</v>
      </c>
    </row>
    <row r="150" spans="1:28" ht="15.75" customHeight="1">
      <c r="A150" s="111" t="s">
        <v>146</v>
      </c>
      <c r="B150" s="7" t="s">
        <v>152</v>
      </c>
      <c r="C150" s="247">
        <v>13807</v>
      </c>
      <c r="D150" s="248">
        <v>193</v>
      </c>
      <c r="E150" s="248">
        <v>1752</v>
      </c>
      <c r="F150" s="248">
        <v>1379</v>
      </c>
      <c r="G150" s="248">
        <v>22446</v>
      </c>
      <c r="H150" s="248">
        <v>19549</v>
      </c>
      <c r="I150" s="248">
        <v>46097</v>
      </c>
      <c r="J150" s="248">
        <v>22906</v>
      </c>
      <c r="K150" s="248">
        <v>12133</v>
      </c>
      <c r="L150" s="248">
        <v>27075</v>
      </c>
      <c r="M150" s="248">
        <v>4058</v>
      </c>
      <c r="N150" s="248">
        <v>5712</v>
      </c>
      <c r="O150" s="248">
        <v>36317</v>
      </c>
      <c r="P150" s="248">
        <v>22624</v>
      </c>
      <c r="Q150" s="248">
        <v>28558</v>
      </c>
      <c r="R150" s="248">
        <v>28107</v>
      </c>
      <c r="S150" s="248">
        <v>48945</v>
      </c>
      <c r="T150" s="248">
        <v>23972</v>
      </c>
      <c r="U150" s="248">
        <v>365630</v>
      </c>
      <c r="V150" s="249">
        <v>195</v>
      </c>
      <c r="W150" s="250">
        <v>365825</v>
      </c>
      <c r="X150" s="248">
        <v>15752</v>
      </c>
      <c r="Y150" s="248">
        <v>69922</v>
      </c>
      <c r="Z150" s="249">
        <v>279956</v>
      </c>
      <c r="AA150" s="261">
        <v>5138</v>
      </c>
      <c r="AB150" s="271">
        <v>381320.74894242821</v>
      </c>
    </row>
    <row r="151" spans="1:28" ht="15.75" customHeight="1">
      <c r="A151" s="112" t="s">
        <v>147</v>
      </c>
      <c r="B151" s="17" t="s">
        <v>153</v>
      </c>
      <c r="C151" s="251">
        <v>5352</v>
      </c>
      <c r="D151" s="252">
        <v>11</v>
      </c>
      <c r="E151" s="252">
        <v>1399</v>
      </c>
      <c r="F151" s="252">
        <v>1147</v>
      </c>
      <c r="G151" s="252">
        <v>73571</v>
      </c>
      <c r="H151" s="252">
        <v>79084</v>
      </c>
      <c r="I151" s="252">
        <v>114255</v>
      </c>
      <c r="J151" s="252">
        <v>184200</v>
      </c>
      <c r="K151" s="252">
        <v>49660</v>
      </c>
      <c r="L151" s="252">
        <v>49126</v>
      </c>
      <c r="M151" s="252">
        <v>72842</v>
      </c>
      <c r="N151" s="252">
        <v>33969</v>
      </c>
      <c r="O151" s="252">
        <v>197598</v>
      </c>
      <c r="P151" s="252">
        <v>124922</v>
      </c>
      <c r="Q151" s="252">
        <v>84873</v>
      </c>
      <c r="R151" s="252">
        <v>92616</v>
      </c>
      <c r="S151" s="252">
        <v>178844</v>
      </c>
      <c r="T151" s="252">
        <v>90941</v>
      </c>
      <c r="U151" s="252">
        <v>1434410</v>
      </c>
      <c r="V151" s="253">
        <v>762</v>
      </c>
      <c r="W151" s="254">
        <v>1435172</v>
      </c>
      <c r="X151" s="252">
        <v>6762</v>
      </c>
      <c r="Y151" s="252">
        <v>188973</v>
      </c>
      <c r="Z151" s="253">
        <v>1238675</v>
      </c>
      <c r="AA151" s="262">
        <v>5729</v>
      </c>
      <c r="AB151" s="272">
        <v>1483242.9948023593</v>
      </c>
    </row>
    <row r="152" spans="1:28" ht="15.75" customHeight="1">
      <c r="A152" s="112" t="s">
        <v>148</v>
      </c>
      <c r="B152" s="17" t="s">
        <v>154</v>
      </c>
      <c r="C152" s="251">
        <v>13428</v>
      </c>
      <c r="D152" s="252">
        <v>18</v>
      </c>
      <c r="E152" s="252">
        <v>2081</v>
      </c>
      <c r="F152" s="252">
        <v>734</v>
      </c>
      <c r="G152" s="252">
        <v>44262</v>
      </c>
      <c r="H152" s="252">
        <v>13811</v>
      </c>
      <c r="I152" s="252">
        <v>56490</v>
      </c>
      <c r="J152" s="252">
        <v>53630</v>
      </c>
      <c r="K152" s="252">
        <v>24564</v>
      </c>
      <c r="L152" s="252">
        <v>16040</v>
      </c>
      <c r="M152" s="252">
        <v>4803</v>
      </c>
      <c r="N152" s="252">
        <v>7205</v>
      </c>
      <c r="O152" s="252">
        <v>67433</v>
      </c>
      <c r="P152" s="252">
        <v>33303</v>
      </c>
      <c r="Q152" s="252">
        <v>40773</v>
      </c>
      <c r="R152" s="252">
        <v>32715</v>
      </c>
      <c r="S152" s="252">
        <v>89126</v>
      </c>
      <c r="T152" s="252">
        <v>33855</v>
      </c>
      <c r="U152" s="252">
        <v>534271</v>
      </c>
      <c r="V152" s="253">
        <v>281</v>
      </c>
      <c r="W152" s="254">
        <v>534552</v>
      </c>
      <c r="X152" s="252">
        <v>15527</v>
      </c>
      <c r="Y152" s="252">
        <v>101486</v>
      </c>
      <c r="Z152" s="253">
        <v>417258</v>
      </c>
      <c r="AA152" s="262">
        <v>5077</v>
      </c>
      <c r="AB152" s="272">
        <v>551053.46024916461</v>
      </c>
    </row>
    <row r="153" spans="1:28" ht="15.75" customHeight="1">
      <c r="A153" s="112" t="s">
        <v>149</v>
      </c>
      <c r="B153" s="17" t="s">
        <v>155</v>
      </c>
      <c r="C153" s="251">
        <v>284</v>
      </c>
      <c r="D153" s="252">
        <v>27</v>
      </c>
      <c r="E153" s="252">
        <v>1727</v>
      </c>
      <c r="F153" s="252">
        <v>238</v>
      </c>
      <c r="G153" s="252">
        <v>13772</v>
      </c>
      <c r="H153" s="252">
        <v>23356</v>
      </c>
      <c r="I153" s="252">
        <v>53277</v>
      </c>
      <c r="J153" s="252">
        <v>122216</v>
      </c>
      <c r="K153" s="252">
        <v>140846</v>
      </c>
      <c r="L153" s="252">
        <v>51420</v>
      </c>
      <c r="M153" s="252">
        <v>107258</v>
      </c>
      <c r="N153" s="252">
        <v>92518</v>
      </c>
      <c r="O153" s="252">
        <v>127855</v>
      </c>
      <c r="P153" s="252">
        <v>151901</v>
      </c>
      <c r="Q153" s="252">
        <v>171258</v>
      </c>
      <c r="R153" s="252">
        <v>37562</v>
      </c>
      <c r="S153" s="252">
        <v>95875</v>
      </c>
      <c r="T153" s="252">
        <v>59828</v>
      </c>
      <c r="U153" s="252">
        <v>1251218</v>
      </c>
      <c r="V153" s="253">
        <v>666</v>
      </c>
      <c r="W153" s="254">
        <v>1251884</v>
      </c>
      <c r="X153" s="252">
        <v>2038</v>
      </c>
      <c r="Y153" s="252">
        <v>67287</v>
      </c>
      <c r="Z153" s="253">
        <v>1181893</v>
      </c>
      <c r="AA153" s="262">
        <v>7267</v>
      </c>
      <c r="AB153" s="272">
        <v>1290520.4825186261</v>
      </c>
    </row>
    <row r="154" spans="1:28" ht="15.75" customHeight="1">
      <c r="A154" s="112" t="s">
        <v>150</v>
      </c>
      <c r="B154" s="17" t="s">
        <v>156</v>
      </c>
      <c r="C154" s="251">
        <v>8144</v>
      </c>
      <c r="D154" s="252">
        <v>40</v>
      </c>
      <c r="E154" s="252">
        <v>498</v>
      </c>
      <c r="F154" s="252">
        <v>152</v>
      </c>
      <c r="G154" s="252">
        <v>10909</v>
      </c>
      <c r="H154" s="252">
        <v>5754</v>
      </c>
      <c r="I154" s="252">
        <v>17092</v>
      </c>
      <c r="J154" s="252">
        <v>18658</v>
      </c>
      <c r="K154" s="252">
        <v>7408</v>
      </c>
      <c r="L154" s="252">
        <v>6991</v>
      </c>
      <c r="M154" s="252">
        <v>2012</v>
      </c>
      <c r="N154" s="252">
        <v>2376</v>
      </c>
      <c r="O154" s="252">
        <v>14677</v>
      </c>
      <c r="P154" s="252">
        <v>10419</v>
      </c>
      <c r="Q154" s="252">
        <v>17770</v>
      </c>
      <c r="R154" s="252">
        <v>10412</v>
      </c>
      <c r="S154" s="252">
        <v>18699</v>
      </c>
      <c r="T154" s="252">
        <v>6435</v>
      </c>
      <c r="U154" s="252">
        <v>158446</v>
      </c>
      <c r="V154" s="253">
        <v>85</v>
      </c>
      <c r="W154" s="254">
        <v>158531</v>
      </c>
      <c r="X154" s="252">
        <v>8682</v>
      </c>
      <c r="Y154" s="252">
        <v>28153</v>
      </c>
      <c r="Z154" s="253">
        <v>121611</v>
      </c>
      <c r="AA154" s="262">
        <v>5663</v>
      </c>
      <c r="AB154" s="272">
        <v>164710.3188591369</v>
      </c>
    </row>
    <row r="155" spans="1:28" ht="15.75" customHeight="1">
      <c r="A155" s="113" t="s">
        <v>151</v>
      </c>
      <c r="B155" s="105" t="s">
        <v>157</v>
      </c>
      <c r="C155" s="255">
        <v>6078</v>
      </c>
      <c r="D155" s="256">
        <v>30</v>
      </c>
      <c r="E155" s="256">
        <v>611</v>
      </c>
      <c r="F155" s="256">
        <v>238</v>
      </c>
      <c r="G155" s="256">
        <v>7126</v>
      </c>
      <c r="H155" s="256">
        <v>6078</v>
      </c>
      <c r="I155" s="256">
        <v>15594</v>
      </c>
      <c r="J155" s="256">
        <v>12679</v>
      </c>
      <c r="K155" s="256">
        <v>16177</v>
      </c>
      <c r="L155" s="256">
        <v>14090</v>
      </c>
      <c r="M155" s="256">
        <v>1422</v>
      </c>
      <c r="N155" s="256">
        <v>2600</v>
      </c>
      <c r="O155" s="256">
        <v>17251</v>
      </c>
      <c r="P155" s="256">
        <v>15795</v>
      </c>
      <c r="Q155" s="256">
        <v>18455</v>
      </c>
      <c r="R155" s="256">
        <v>11041</v>
      </c>
      <c r="S155" s="256">
        <v>13142</v>
      </c>
      <c r="T155" s="256">
        <v>8964</v>
      </c>
      <c r="U155" s="256">
        <v>167371</v>
      </c>
      <c r="V155" s="257">
        <v>89</v>
      </c>
      <c r="W155" s="258">
        <v>167460</v>
      </c>
      <c r="X155" s="256">
        <v>6719</v>
      </c>
      <c r="Y155" s="256">
        <v>22958</v>
      </c>
      <c r="Z155" s="257">
        <v>137694</v>
      </c>
      <c r="AA155" s="263">
        <v>5590</v>
      </c>
      <c r="AB155" s="273">
        <v>174990.78575828648</v>
      </c>
    </row>
    <row r="156" spans="1:28" ht="15.75" customHeight="1">
      <c r="A156" s="222" t="s">
        <v>293</v>
      </c>
      <c r="B156" s="25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15.75" customHeight="1">
      <c r="A157" s="222" t="s">
        <v>292</v>
      </c>
    </row>
    <row r="158" spans="1:28" ht="13.5" customHeight="1">
      <c r="A158" s="55">
        <f>A106+1</f>
        <v>26</v>
      </c>
      <c r="B158" s="50" t="str">
        <f>IF(A158&lt;22,"令和"&amp;A158&amp;"年度","平成"&amp;A158&amp;"年度")</f>
        <v>平成26年度</v>
      </c>
      <c r="C158" s="56" t="str">
        <f>C$2</f>
        <v>経済活動別市町村内総生産（百万円）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1"/>
      <c r="Y158" s="2"/>
      <c r="Z158" s="57"/>
      <c r="AA158" s="57"/>
      <c r="AB158" s="57"/>
    </row>
    <row r="159" spans="1:28" ht="45" customHeight="1">
      <c r="A159" s="186"/>
      <c r="B159" s="76"/>
      <c r="C159" s="77" t="s">
        <v>51</v>
      </c>
      <c r="D159" s="77" t="s">
        <v>52</v>
      </c>
      <c r="E159" s="77" t="s">
        <v>53</v>
      </c>
      <c r="F159" s="77" t="s">
        <v>54</v>
      </c>
      <c r="G159" s="77" t="s">
        <v>55</v>
      </c>
      <c r="H159" s="77" t="s">
        <v>56</v>
      </c>
      <c r="I159" s="77" t="s">
        <v>57</v>
      </c>
      <c r="J159" s="77" t="s">
        <v>58</v>
      </c>
      <c r="K159" s="77" t="s">
        <v>59</v>
      </c>
      <c r="L159" s="77" t="s">
        <v>60</v>
      </c>
      <c r="M159" s="77" t="s">
        <v>61</v>
      </c>
      <c r="N159" s="77" t="s">
        <v>62</v>
      </c>
      <c r="O159" s="77" t="s">
        <v>63</v>
      </c>
      <c r="P159" s="77" t="s">
        <v>64</v>
      </c>
      <c r="Q159" s="77" t="s">
        <v>65</v>
      </c>
      <c r="R159" s="77" t="s">
        <v>66</v>
      </c>
      <c r="S159" s="77" t="s">
        <v>67</v>
      </c>
      <c r="T159" s="77" t="s">
        <v>68</v>
      </c>
      <c r="U159" s="77" t="s">
        <v>70</v>
      </c>
      <c r="V159" s="78" t="s">
        <v>69</v>
      </c>
      <c r="W159" s="79" t="s">
        <v>71</v>
      </c>
      <c r="X159" s="77" t="s">
        <v>72</v>
      </c>
      <c r="Y159" s="77" t="s">
        <v>73</v>
      </c>
      <c r="Z159" s="77" t="s">
        <v>74</v>
      </c>
      <c r="AA159" s="259" t="s">
        <v>277</v>
      </c>
      <c r="AB159" s="269" t="s">
        <v>278</v>
      </c>
    </row>
    <row r="160" spans="1:28" ht="13.5" customHeight="1">
      <c r="A160" s="153" t="s">
        <v>160</v>
      </c>
      <c r="B160" s="22" t="s">
        <v>0</v>
      </c>
      <c r="C160" s="243">
        <v>50557</v>
      </c>
      <c r="D160" s="244">
        <v>361</v>
      </c>
      <c r="E160" s="244">
        <v>9031</v>
      </c>
      <c r="F160" s="244">
        <v>4507</v>
      </c>
      <c r="G160" s="244">
        <v>166195</v>
      </c>
      <c r="H160" s="244">
        <v>160241</v>
      </c>
      <c r="I160" s="244">
        <v>331952</v>
      </c>
      <c r="J160" s="244">
        <v>409943</v>
      </c>
      <c r="K160" s="244">
        <v>247565</v>
      </c>
      <c r="L160" s="244">
        <v>164642</v>
      </c>
      <c r="M160" s="244">
        <v>188913</v>
      </c>
      <c r="N160" s="244">
        <v>142529</v>
      </c>
      <c r="O160" s="244">
        <v>474578</v>
      </c>
      <c r="P160" s="244">
        <v>369989</v>
      </c>
      <c r="Q160" s="244">
        <v>374291</v>
      </c>
      <c r="R160" s="244">
        <v>219871</v>
      </c>
      <c r="S160" s="244">
        <v>448443</v>
      </c>
      <c r="T160" s="244">
        <v>221913</v>
      </c>
      <c r="U160" s="244">
        <v>3985521</v>
      </c>
      <c r="V160" s="245">
        <v>-3037</v>
      </c>
      <c r="W160" s="246">
        <v>3982484</v>
      </c>
      <c r="X160" s="244">
        <v>59949</v>
      </c>
      <c r="Y160" s="244">
        <v>502654</v>
      </c>
      <c r="Z160" s="245">
        <v>3422918</v>
      </c>
      <c r="AA160" s="260">
        <v>5930</v>
      </c>
      <c r="AB160" s="270">
        <v>4035189</v>
      </c>
    </row>
    <row r="161" spans="1:28" ht="13.5" customHeight="1">
      <c r="A161" s="16" t="s">
        <v>1</v>
      </c>
      <c r="B161" s="17" t="s">
        <v>2</v>
      </c>
      <c r="C161" s="247">
        <v>277</v>
      </c>
      <c r="D161" s="248">
        <v>32</v>
      </c>
      <c r="E161" s="248">
        <v>1717</v>
      </c>
      <c r="F161" s="248">
        <v>288</v>
      </c>
      <c r="G161" s="248">
        <v>13517</v>
      </c>
      <c r="H161" s="248">
        <v>28750</v>
      </c>
      <c r="I161" s="248">
        <v>79695</v>
      </c>
      <c r="J161" s="248">
        <v>120743</v>
      </c>
      <c r="K161" s="248">
        <v>134994</v>
      </c>
      <c r="L161" s="248">
        <v>50539</v>
      </c>
      <c r="M161" s="248">
        <v>98532</v>
      </c>
      <c r="N161" s="248">
        <v>91900</v>
      </c>
      <c r="O161" s="248">
        <v>132232</v>
      </c>
      <c r="P161" s="248">
        <v>156682</v>
      </c>
      <c r="Q161" s="248">
        <v>182361</v>
      </c>
      <c r="R161" s="248">
        <v>37687</v>
      </c>
      <c r="S161" s="248">
        <v>97024</v>
      </c>
      <c r="T161" s="248">
        <v>59411</v>
      </c>
      <c r="U161" s="248">
        <v>1286381</v>
      </c>
      <c r="V161" s="249">
        <v>-980</v>
      </c>
      <c r="W161" s="250">
        <v>1285401</v>
      </c>
      <c r="X161" s="248">
        <v>2026</v>
      </c>
      <c r="Y161" s="248">
        <v>93500</v>
      </c>
      <c r="Z161" s="249">
        <v>1190855</v>
      </c>
      <c r="AA161" s="261">
        <v>7301</v>
      </c>
      <c r="AB161" s="271">
        <v>1297097.3114243841</v>
      </c>
    </row>
    <row r="162" spans="1:28" ht="13.5" customHeight="1">
      <c r="A162" s="18" t="s">
        <v>3</v>
      </c>
      <c r="B162" s="19" t="s">
        <v>4</v>
      </c>
      <c r="C162" s="251">
        <v>97</v>
      </c>
      <c r="D162" s="252">
        <v>0</v>
      </c>
      <c r="E162" s="252">
        <v>130</v>
      </c>
      <c r="F162" s="252">
        <v>427</v>
      </c>
      <c r="G162" s="252">
        <v>3791</v>
      </c>
      <c r="H162" s="252">
        <v>6113</v>
      </c>
      <c r="I162" s="252">
        <v>18640</v>
      </c>
      <c r="J162" s="252">
        <v>24003</v>
      </c>
      <c r="K162" s="252">
        <v>4959</v>
      </c>
      <c r="L162" s="252">
        <v>8145</v>
      </c>
      <c r="M162" s="252">
        <v>11148</v>
      </c>
      <c r="N162" s="252">
        <v>4272</v>
      </c>
      <c r="O162" s="252">
        <v>32306</v>
      </c>
      <c r="P162" s="252">
        <v>17847</v>
      </c>
      <c r="Q162" s="252">
        <v>8124</v>
      </c>
      <c r="R162" s="252">
        <v>12477</v>
      </c>
      <c r="S162" s="252">
        <v>19079</v>
      </c>
      <c r="T162" s="252">
        <v>14076</v>
      </c>
      <c r="U162" s="252">
        <v>185634</v>
      </c>
      <c r="V162" s="253">
        <v>-142</v>
      </c>
      <c r="W162" s="254">
        <v>185492</v>
      </c>
      <c r="X162" s="252">
        <v>227</v>
      </c>
      <c r="Y162" s="252">
        <v>22858</v>
      </c>
      <c r="Z162" s="253">
        <v>162549</v>
      </c>
      <c r="AA162" s="262">
        <v>5386</v>
      </c>
      <c r="AB162" s="272">
        <v>186832.42042397324</v>
      </c>
    </row>
    <row r="163" spans="1:28" ht="13.5" customHeight="1">
      <c r="A163" s="18" t="s">
        <v>5</v>
      </c>
      <c r="B163" s="19" t="s">
        <v>6</v>
      </c>
      <c r="C163" s="251">
        <v>5464</v>
      </c>
      <c r="D163" s="252">
        <v>26</v>
      </c>
      <c r="E163" s="252">
        <v>593</v>
      </c>
      <c r="F163" s="252">
        <v>221</v>
      </c>
      <c r="G163" s="252">
        <v>5470</v>
      </c>
      <c r="H163" s="252">
        <v>6276</v>
      </c>
      <c r="I163" s="252">
        <v>9844</v>
      </c>
      <c r="J163" s="252">
        <v>12049</v>
      </c>
      <c r="K163" s="252">
        <v>15945</v>
      </c>
      <c r="L163" s="252">
        <v>11164</v>
      </c>
      <c r="M163" s="252">
        <v>1471</v>
      </c>
      <c r="N163" s="252">
        <v>2417</v>
      </c>
      <c r="O163" s="252">
        <v>15946</v>
      </c>
      <c r="P163" s="252">
        <v>14568</v>
      </c>
      <c r="Q163" s="252">
        <v>18131</v>
      </c>
      <c r="R163" s="252">
        <v>8624</v>
      </c>
      <c r="S163" s="252">
        <v>11916</v>
      </c>
      <c r="T163" s="252">
        <v>6559</v>
      </c>
      <c r="U163" s="252">
        <v>146684</v>
      </c>
      <c r="V163" s="253">
        <v>-111</v>
      </c>
      <c r="W163" s="254">
        <v>146573</v>
      </c>
      <c r="X163" s="252">
        <v>6083</v>
      </c>
      <c r="Y163" s="252">
        <v>15535</v>
      </c>
      <c r="Z163" s="253">
        <v>125066</v>
      </c>
      <c r="AA163" s="262">
        <v>5545</v>
      </c>
      <c r="AB163" s="272">
        <v>149519.35267002272</v>
      </c>
    </row>
    <row r="164" spans="1:28" ht="13.5" customHeight="1">
      <c r="A164" s="18" t="s">
        <v>7</v>
      </c>
      <c r="B164" s="19" t="s">
        <v>8</v>
      </c>
      <c r="C164" s="251">
        <v>31</v>
      </c>
      <c r="D164" s="252">
        <v>2</v>
      </c>
      <c r="E164" s="252">
        <v>145</v>
      </c>
      <c r="F164" s="252">
        <v>132</v>
      </c>
      <c r="G164" s="252">
        <v>21459</v>
      </c>
      <c r="H164" s="252">
        <v>13163</v>
      </c>
      <c r="I164" s="252">
        <v>18524</v>
      </c>
      <c r="J164" s="252">
        <v>78888</v>
      </c>
      <c r="K164" s="252">
        <v>18324</v>
      </c>
      <c r="L164" s="252">
        <v>7599</v>
      </c>
      <c r="M164" s="252">
        <v>42824</v>
      </c>
      <c r="N164" s="252">
        <v>9304</v>
      </c>
      <c r="O164" s="252">
        <v>35880</v>
      </c>
      <c r="P164" s="252">
        <v>43150</v>
      </c>
      <c r="Q164" s="252">
        <v>13243</v>
      </c>
      <c r="R164" s="252">
        <v>16866</v>
      </c>
      <c r="S164" s="252">
        <v>37009</v>
      </c>
      <c r="T164" s="252">
        <v>16588</v>
      </c>
      <c r="U164" s="252">
        <v>373131</v>
      </c>
      <c r="V164" s="253">
        <v>-284</v>
      </c>
      <c r="W164" s="254">
        <v>372847</v>
      </c>
      <c r="X164" s="252">
        <v>178</v>
      </c>
      <c r="Y164" s="252">
        <v>40115</v>
      </c>
      <c r="Z164" s="253">
        <v>332838</v>
      </c>
      <c r="AA164" s="262">
        <v>6666</v>
      </c>
      <c r="AB164" s="272">
        <v>376097.25955310435</v>
      </c>
    </row>
    <row r="165" spans="1:28" ht="13.5" customHeight="1">
      <c r="A165" s="16" t="s">
        <v>9</v>
      </c>
      <c r="B165" s="17" t="s">
        <v>10</v>
      </c>
      <c r="C165" s="251">
        <v>3134</v>
      </c>
      <c r="D165" s="252">
        <v>86</v>
      </c>
      <c r="E165" s="252">
        <v>307</v>
      </c>
      <c r="F165" s="252">
        <v>835</v>
      </c>
      <c r="G165" s="252">
        <v>15510</v>
      </c>
      <c r="H165" s="252">
        <v>8102</v>
      </c>
      <c r="I165" s="252">
        <v>15735</v>
      </c>
      <c r="J165" s="252">
        <v>15720</v>
      </c>
      <c r="K165" s="252">
        <v>4632</v>
      </c>
      <c r="L165" s="252">
        <v>9183</v>
      </c>
      <c r="M165" s="252">
        <v>2226</v>
      </c>
      <c r="N165" s="252">
        <v>4241</v>
      </c>
      <c r="O165" s="252">
        <v>18100</v>
      </c>
      <c r="P165" s="252">
        <v>13434</v>
      </c>
      <c r="Q165" s="252">
        <v>13232</v>
      </c>
      <c r="R165" s="252">
        <v>13812</v>
      </c>
      <c r="S165" s="252">
        <v>32126</v>
      </c>
      <c r="T165" s="252">
        <v>8621</v>
      </c>
      <c r="U165" s="252">
        <v>179036</v>
      </c>
      <c r="V165" s="253">
        <v>-136</v>
      </c>
      <c r="W165" s="254">
        <v>178900</v>
      </c>
      <c r="X165" s="252">
        <v>3527</v>
      </c>
      <c r="Y165" s="252">
        <v>32080</v>
      </c>
      <c r="Z165" s="253">
        <v>143429</v>
      </c>
      <c r="AA165" s="262">
        <v>5591</v>
      </c>
      <c r="AB165" s="272">
        <v>180848.80637197994</v>
      </c>
    </row>
    <row r="166" spans="1:28" ht="13.5" customHeight="1">
      <c r="A166" s="18" t="s">
        <v>11</v>
      </c>
      <c r="B166" s="19" t="s">
        <v>12</v>
      </c>
      <c r="C166" s="251">
        <v>3618</v>
      </c>
      <c r="D166" s="252">
        <v>2</v>
      </c>
      <c r="E166" s="252">
        <v>451</v>
      </c>
      <c r="F166" s="252">
        <v>530</v>
      </c>
      <c r="G166" s="252">
        <v>18710</v>
      </c>
      <c r="H166" s="252">
        <v>3287</v>
      </c>
      <c r="I166" s="252">
        <v>10371</v>
      </c>
      <c r="J166" s="252">
        <v>11211</v>
      </c>
      <c r="K166" s="252">
        <v>4840</v>
      </c>
      <c r="L166" s="252">
        <v>4532</v>
      </c>
      <c r="M166" s="252">
        <v>422</v>
      </c>
      <c r="N166" s="252">
        <v>1597</v>
      </c>
      <c r="O166" s="252">
        <v>15662</v>
      </c>
      <c r="P166" s="252">
        <v>4794</v>
      </c>
      <c r="Q166" s="252">
        <v>7869</v>
      </c>
      <c r="R166" s="252">
        <v>7930</v>
      </c>
      <c r="S166" s="252">
        <v>19175</v>
      </c>
      <c r="T166" s="252">
        <v>8074</v>
      </c>
      <c r="U166" s="252">
        <v>123075</v>
      </c>
      <c r="V166" s="253">
        <v>-93</v>
      </c>
      <c r="W166" s="254">
        <v>122982</v>
      </c>
      <c r="X166" s="252">
        <v>4071</v>
      </c>
      <c r="Y166" s="252">
        <v>29611</v>
      </c>
      <c r="Z166" s="253">
        <v>89393</v>
      </c>
      <c r="AA166" s="262">
        <v>4536</v>
      </c>
      <c r="AB166" s="272">
        <v>124653.8267684267</v>
      </c>
    </row>
    <row r="167" spans="1:28" ht="13.5" customHeight="1">
      <c r="A167" s="18" t="s">
        <v>13</v>
      </c>
      <c r="B167" s="19" t="s">
        <v>14</v>
      </c>
      <c r="C167" s="251">
        <v>1332</v>
      </c>
      <c r="D167" s="252">
        <v>2</v>
      </c>
      <c r="E167" s="252">
        <v>244</v>
      </c>
      <c r="F167" s="252">
        <v>110</v>
      </c>
      <c r="G167" s="252">
        <v>12012</v>
      </c>
      <c r="H167" s="252">
        <v>7919</v>
      </c>
      <c r="I167" s="252">
        <v>26973</v>
      </c>
      <c r="J167" s="252">
        <v>23760</v>
      </c>
      <c r="K167" s="252">
        <v>8256</v>
      </c>
      <c r="L167" s="252">
        <v>13391</v>
      </c>
      <c r="M167" s="252">
        <v>3768</v>
      </c>
      <c r="N167" s="252">
        <v>9557</v>
      </c>
      <c r="O167" s="252">
        <v>44123</v>
      </c>
      <c r="P167" s="252">
        <v>28386</v>
      </c>
      <c r="Q167" s="252">
        <v>25037</v>
      </c>
      <c r="R167" s="252">
        <v>19572</v>
      </c>
      <c r="S167" s="252">
        <v>50384</v>
      </c>
      <c r="T167" s="252">
        <v>20008</v>
      </c>
      <c r="U167" s="252">
        <v>294834</v>
      </c>
      <c r="V167" s="253">
        <v>-225</v>
      </c>
      <c r="W167" s="254">
        <v>294609</v>
      </c>
      <c r="X167" s="252">
        <v>1578</v>
      </c>
      <c r="Y167" s="252">
        <v>39095</v>
      </c>
      <c r="Z167" s="253">
        <v>254161</v>
      </c>
      <c r="AA167" s="262">
        <v>5628</v>
      </c>
      <c r="AB167" s="272">
        <v>296981.17427375726</v>
      </c>
    </row>
    <row r="168" spans="1:28" ht="13.5" customHeight="1">
      <c r="A168" s="18" t="s">
        <v>15</v>
      </c>
      <c r="B168" s="19" t="s">
        <v>45</v>
      </c>
      <c r="C168" s="251">
        <v>1364</v>
      </c>
      <c r="D168" s="252">
        <v>4</v>
      </c>
      <c r="E168" s="252">
        <v>315</v>
      </c>
      <c r="F168" s="252">
        <v>93</v>
      </c>
      <c r="G168" s="252">
        <v>6511</v>
      </c>
      <c r="H168" s="252">
        <v>3305</v>
      </c>
      <c r="I168" s="252">
        <v>10052</v>
      </c>
      <c r="J168" s="252">
        <v>15677</v>
      </c>
      <c r="K168" s="252">
        <v>9639</v>
      </c>
      <c r="L168" s="252">
        <v>3441</v>
      </c>
      <c r="M168" s="252">
        <v>2599</v>
      </c>
      <c r="N168" s="252">
        <v>1446</v>
      </c>
      <c r="O168" s="252">
        <v>17736</v>
      </c>
      <c r="P168" s="252">
        <v>22277</v>
      </c>
      <c r="Q168" s="252">
        <v>5870</v>
      </c>
      <c r="R168" s="252">
        <v>6588</v>
      </c>
      <c r="S168" s="252">
        <v>23396</v>
      </c>
      <c r="T168" s="252">
        <v>6439</v>
      </c>
      <c r="U168" s="252">
        <v>136752</v>
      </c>
      <c r="V168" s="253">
        <v>-104</v>
      </c>
      <c r="W168" s="254">
        <v>136648</v>
      </c>
      <c r="X168" s="252">
        <v>1683</v>
      </c>
      <c r="Y168" s="252">
        <v>16656</v>
      </c>
      <c r="Z168" s="253">
        <v>118413</v>
      </c>
      <c r="AA168" s="262">
        <v>5911</v>
      </c>
      <c r="AB168" s="272">
        <v>138375.60558125796</v>
      </c>
    </row>
    <row r="169" spans="1:28" ht="13.5" customHeight="1">
      <c r="A169" s="18" t="s">
        <v>16</v>
      </c>
      <c r="B169" s="19" t="s">
        <v>46</v>
      </c>
      <c r="C169" s="251">
        <v>2536</v>
      </c>
      <c r="D169" s="252">
        <v>1</v>
      </c>
      <c r="E169" s="252">
        <v>677</v>
      </c>
      <c r="F169" s="252">
        <v>221</v>
      </c>
      <c r="G169" s="252">
        <v>20722</v>
      </c>
      <c r="H169" s="252">
        <v>25146</v>
      </c>
      <c r="I169" s="252">
        <v>25202</v>
      </c>
      <c r="J169" s="252">
        <v>22622</v>
      </c>
      <c r="K169" s="252">
        <v>10016</v>
      </c>
      <c r="L169" s="252">
        <v>6992</v>
      </c>
      <c r="M169" s="252">
        <v>15313</v>
      </c>
      <c r="N169" s="252">
        <v>4383</v>
      </c>
      <c r="O169" s="252">
        <v>37118</v>
      </c>
      <c r="P169" s="252">
        <v>19250</v>
      </c>
      <c r="Q169" s="252">
        <v>17753</v>
      </c>
      <c r="R169" s="252">
        <v>14059</v>
      </c>
      <c r="S169" s="252">
        <v>29233</v>
      </c>
      <c r="T169" s="252">
        <v>16447</v>
      </c>
      <c r="U169" s="252">
        <v>267691</v>
      </c>
      <c r="V169" s="253">
        <v>-204</v>
      </c>
      <c r="W169" s="254">
        <v>267487</v>
      </c>
      <c r="X169" s="252">
        <v>3214</v>
      </c>
      <c r="Y169" s="252">
        <v>46145</v>
      </c>
      <c r="Z169" s="253">
        <v>218332</v>
      </c>
      <c r="AA169" s="262">
        <v>6151</v>
      </c>
      <c r="AB169" s="272">
        <v>272973.22763695224</v>
      </c>
    </row>
    <row r="170" spans="1:28" ht="13.5" customHeight="1">
      <c r="A170" s="18">
        <v>10</v>
      </c>
      <c r="B170" s="19" t="s">
        <v>47</v>
      </c>
      <c r="C170" s="251">
        <v>8227</v>
      </c>
      <c r="D170" s="252">
        <v>44</v>
      </c>
      <c r="E170" s="252">
        <v>585</v>
      </c>
      <c r="F170" s="252">
        <v>185</v>
      </c>
      <c r="G170" s="252">
        <v>9070</v>
      </c>
      <c r="H170" s="252">
        <v>6239</v>
      </c>
      <c r="I170" s="252">
        <v>15694</v>
      </c>
      <c r="J170" s="252">
        <v>18389</v>
      </c>
      <c r="K170" s="252">
        <v>6976</v>
      </c>
      <c r="L170" s="252">
        <v>6868</v>
      </c>
      <c r="M170" s="252">
        <v>2025</v>
      </c>
      <c r="N170" s="252">
        <v>2245</v>
      </c>
      <c r="O170" s="252">
        <v>14585</v>
      </c>
      <c r="P170" s="252">
        <v>10646</v>
      </c>
      <c r="Q170" s="252">
        <v>16945</v>
      </c>
      <c r="R170" s="252">
        <v>10177</v>
      </c>
      <c r="S170" s="252">
        <v>18884</v>
      </c>
      <c r="T170" s="252">
        <v>6135</v>
      </c>
      <c r="U170" s="252">
        <v>153919</v>
      </c>
      <c r="V170" s="253">
        <v>-117</v>
      </c>
      <c r="W170" s="254">
        <v>153802</v>
      </c>
      <c r="X170" s="252">
        <v>8856</v>
      </c>
      <c r="Y170" s="252">
        <v>24949</v>
      </c>
      <c r="Z170" s="253">
        <v>120114</v>
      </c>
      <c r="AA170" s="262">
        <v>5618</v>
      </c>
      <c r="AB170" s="272">
        <v>156548.67607695839</v>
      </c>
    </row>
    <row r="171" spans="1:28" ht="13.5" customHeight="1">
      <c r="A171" s="20">
        <v>11</v>
      </c>
      <c r="B171" s="21" t="s">
        <v>48</v>
      </c>
      <c r="C171" s="255">
        <v>2906</v>
      </c>
      <c r="D171" s="256">
        <v>1</v>
      </c>
      <c r="E171" s="256">
        <v>513</v>
      </c>
      <c r="F171" s="256">
        <v>75</v>
      </c>
      <c r="G171" s="256">
        <v>7835</v>
      </c>
      <c r="H171" s="256">
        <v>2234</v>
      </c>
      <c r="I171" s="256">
        <v>8926</v>
      </c>
      <c r="J171" s="256">
        <v>4167</v>
      </c>
      <c r="K171" s="256">
        <v>3628</v>
      </c>
      <c r="L171" s="256">
        <v>1408</v>
      </c>
      <c r="M171" s="256">
        <v>37</v>
      </c>
      <c r="N171" s="256">
        <v>488</v>
      </c>
      <c r="O171" s="256">
        <v>10672</v>
      </c>
      <c r="P171" s="256">
        <v>1726</v>
      </c>
      <c r="Q171" s="256">
        <v>8810</v>
      </c>
      <c r="R171" s="256">
        <v>3252</v>
      </c>
      <c r="S171" s="256">
        <v>7666</v>
      </c>
      <c r="T171" s="256">
        <v>4238</v>
      </c>
      <c r="U171" s="256">
        <v>68582</v>
      </c>
      <c r="V171" s="257">
        <v>-53</v>
      </c>
      <c r="W171" s="258">
        <v>68529</v>
      </c>
      <c r="X171" s="256">
        <v>3420</v>
      </c>
      <c r="Y171" s="256">
        <v>16836</v>
      </c>
      <c r="Z171" s="257">
        <v>48326</v>
      </c>
      <c r="AA171" s="263">
        <v>4457</v>
      </c>
      <c r="AB171" s="273">
        <v>69631.450237132478</v>
      </c>
    </row>
    <row r="172" spans="1:28" ht="13.5" customHeight="1">
      <c r="A172" s="18">
        <v>12</v>
      </c>
      <c r="B172" s="19" t="s">
        <v>17</v>
      </c>
      <c r="C172" s="247">
        <v>1796</v>
      </c>
      <c r="D172" s="248">
        <v>94</v>
      </c>
      <c r="E172" s="248">
        <v>51</v>
      </c>
      <c r="F172" s="248">
        <v>157</v>
      </c>
      <c r="G172" s="248">
        <v>260</v>
      </c>
      <c r="H172" s="248">
        <v>372</v>
      </c>
      <c r="I172" s="248">
        <v>1617</v>
      </c>
      <c r="J172" s="248">
        <v>456</v>
      </c>
      <c r="K172" s="248">
        <v>335</v>
      </c>
      <c r="L172" s="248">
        <v>1232</v>
      </c>
      <c r="M172" s="248">
        <v>0</v>
      </c>
      <c r="N172" s="248">
        <v>145</v>
      </c>
      <c r="O172" s="248">
        <v>1110</v>
      </c>
      <c r="P172" s="248">
        <v>236</v>
      </c>
      <c r="Q172" s="248">
        <v>1443</v>
      </c>
      <c r="R172" s="248">
        <v>1006</v>
      </c>
      <c r="S172" s="248">
        <v>852</v>
      </c>
      <c r="T172" s="248">
        <v>529</v>
      </c>
      <c r="U172" s="248">
        <v>11691</v>
      </c>
      <c r="V172" s="249">
        <v>-9</v>
      </c>
      <c r="W172" s="250">
        <v>11682</v>
      </c>
      <c r="X172" s="248">
        <v>1941</v>
      </c>
      <c r="Y172" s="248">
        <v>2034</v>
      </c>
      <c r="Z172" s="249">
        <v>7716</v>
      </c>
      <c r="AA172" s="261">
        <v>3986</v>
      </c>
      <c r="AB172" s="271">
        <v>11990.802835227303</v>
      </c>
    </row>
    <row r="173" spans="1:28" ht="13.5" customHeight="1">
      <c r="A173" s="18">
        <v>13</v>
      </c>
      <c r="B173" s="19" t="s">
        <v>18</v>
      </c>
      <c r="C173" s="251">
        <v>1130</v>
      </c>
      <c r="D173" s="252">
        <v>8</v>
      </c>
      <c r="E173" s="252">
        <v>119</v>
      </c>
      <c r="F173" s="252">
        <v>0</v>
      </c>
      <c r="G173" s="252">
        <v>124</v>
      </c>
      <c r="H173" s="252">
        <v>193</v>
      </c>
      <c r="I173" s="252">
        <v>2326</v>
      </c>
      <c r="J173" s="252">
        <v>180</v>
      </c>
      <c r="K173" s="252">
        <v>364</v>
      </c>
      <c r="L173" s="252">
        <v>67</v>
      </c>
      <c r="M173" s="252">
        <v>0</v>
      </c>
      <c r="N173" s="252">
        <v>4</v>
      </c>
      <c r="O173" s="252">
        <v>747</v>
      </c>
      <c r="P173" s="252">
        <v>202</v>
      </c>
      <c r="Q173" s="252">
        <v>789</v>
      </c>
      <c r="R173" s="252">
        <v>862</v>
      </c>
      <c r="S173" s="252">
        <v>823</v>
      </c>
      <c r="T173" s="252">
        <v>267</v>
      </c>
      <c r="U173" s="252">
        <v>8205</v>
      </c>
      <c r="V173" s="253">
        <v>-6</v>
      </c>
      <c r="W173" s="254">
        <v>8199</v>
      </c>
      <c r="X173" s="252">
        <v>1257</v>
      </c>
      <c r="Y173" s="252">
        <v>2450</v>
      </c>
      <c r="Z173" s="253">
        <v>4498</v>
      </c>
      <c r="AA173" s="262">
        <v>4809</v>
      </c>
      <c r="AB173" s="272">
        <v>8460.8100707404083</v>
      </c>
    </row>
    <row r="174" spans="1:28" ht="13.5" customHeight="1">
      <c r="A174" s="18">
        <v>14</v>
      </c>
      <c r="B174" s="19" t="s">
        <v>19</v>
      </c>
      <c r="C174" s="251">
        <v>957</v>
      </c>
      <c r="D174" s="252">
        <v>5</v>
      </c>
      <c r="E174" s="252">
        <v>25</v>
      </c>
      <c r="F174" s="252">
        <v>0</v>
      </c>
      <c r="G174" s="252">
        <v>291</v>
      </c>
      <c r="H174" s="252">
        <v>28</v>
      </c>
      <c r="I174" s="252">
        <v>2068</v>
      </c>
      <c r="J174" s="252">
        <v>101</v>
      </c>
      <c r="K174" s="252">
        <v>55</v>
      </c>
      <c r="L174" s="252">
        <v>149</v>
      </c>
      <c r="M174" s="252">
        <v>0</v>
      </c>
      <c r="N174" s="252">
        <v>8</v>
      </c>
      <c r="O174" s="252">
        <v>356</v>
      </c>
      <c r="P174" s="252">
        <v>811</v>
      </c>
      <c r="Q174" s="252">
        <v>695</v>
      </c>
      <c r="R174" s="252">
        <v>668</v>
      </c>
      <c r="S174" s="252">
        <v>243</v>
      </c>
      <c r="T174" s="252">
        <v>272</v>
      </c>
      <c r="U174" s="252">
        <v>6732</v>
      </c>
      <c r="V174" s="253">
        <v>-5</v>
      </c>
      <c r="W174" s="254">
        <v>6727</v>
      </c>
      <c r="X174" s="252">
        <v>987</v>
      </c>
      <c r="Y174" s="252">
        <v>2359</v>
      </c>
      <c r="Z174" s="253">
        <v>3386</v>
      </c>
      <c r="AA174" s="262">
        <v>5335</v>
      </c>
      <c r="AB174" s="272">
        <v>6898.0348162254286</v>
      </c>
    </row>
    <row r="175" spans="1:28" ht="13.5" customHeight="1">
      <c r="A175" s="18">
        <v>15</v>
      </c>
      <c r="B175" s="19" t="s">
        <v>20</v>
      </c>
      <c r="C175" s="251">
        <v>1713</v>
      </c>
      <c r="D175" s="252">
        <v>10</v>
      </c>
      <c r="E175" s="252">
        <v>68</v>
      </c>
      <c r="F175" s="252">
        <v>0</v>
      </c>
      <c r="G175" s="252">
        <v>1622</v>
      </c>
      <c r="H175" s="252">
        <v>504</v>
      </c>
      <c r="I175" s="252">
        <v>1718</v>
      </c>
      <c r="J175" s="252">
        <v>587</v>
      </c>
      <c r="K175" s="252">
        <v>380</v>
      </c>
      <c r="L175" s="252">
        <v>879</v>
      </c>
      <c r="M175" s="252">
        <v>27</v>
      </c>
      <c r="N175" s="252">
        <v>74</v>
      </c>
      <c r="O175" s="252">
        <v>1944</v>
      </c>
      <c r="P175" s="252">
        <v>658</v>
      </c>
      <c r="Q175" s="252">
        <v>1203</v>
      </c>
      <c r="R175" s="252">
        <v>1148</v>
      </c>
      <c r="S175" s="252">
        <v>1839</v>
      </c>
      <c r="T175" s="252">
        <v>1324</v>
      </c>
      <c r="U175" s="252">
        <v>15698</v>
      </c>
      <c r="V175" s="253">
        <v>-12</v>
      </c>
      <c r="W175" s="254">
        <v>15686</v>
      </c>
      <c r="X175" s="252">
        <v>1791</v>
      </c>
      <c r="Y175" s="252">
        <v>3340</v>
      </c>
      <c r="Z175" s="253">
        <v>10567</v>
      </c>
      <c r="AA175" s="262">
        <v>3529</v>
      </c>
      <c r="AB175" s="272">
        <v>16045.042168112663</v>
      </c>
    </row>
    <row r="176" spans="1:28" ht="13.5" customHeight="1">
      <c r="A176" s="18">
        <v>16</v>
      </c>
      <c r="B176" s="19" t="s">
        <v>21</v>
      </c>
      <c r="C176" s="251">
        <v>1090</v>
      </c>
      <c r="D176" s="252">
        <v>2</v>
      </c>
      <c r="E176" s="252">
        <v>558</v>
      </c>
      <c r="F176" s="252">
        <v>627</v>
      </c>
      <c r="G176" s="252">
        <v>1352</v>
      </c>
      <c r="H176" s="252">
        <v>1178</v>
      </c>
      <c r="I176" s="252">
        <v>3691</v>
      </c>
      <c r="J176" s="252">
        <v>1685</v>
      </c>
      <c r="K176" s="252">
        <v>1201</v>
      </c>
      <c r="L176" s="252">
        <v>2790</v>
      </c>
      <c r="M176" s="252">
        <v>0</v>
      </c>
      <c r="N176" s="252">
        <v>493</v>
      </c>
      <c r="O176" s="252">
        <v>3556</v>
      </c>
      <c r="P176" s="252">
        <v>1782</v>
      </c>
      <c r="Q176" s="252">
        <v>2120</v>
      </c>
      <c r="R176" s="252">
        <v>1890</v>
      </c>
      <c r="S176" s="252">
        <v>4562</v>
      </c>
      <c r="T176" s="252">
        <v>5418</v>
      </c>
      <c r="U176" s="252">
        <v>33995</v>
      </c>
      <c r="V176" s="253">
        <v>-26</v>
      </c>
      <c r="W176" s="254">
        <v>33969</v>
      </c>
      <c r="X176" s="252">
        <v>1650</v>
      </c>
      <c r="Y176" s="252">
        <v>5670</v>
      </c>
      <c r="Z176" s="253">
        <v>26675</v>
      </c>
      <c r="AA176" s="262">
        <v>4241</v>
      </c>
      <c r="AB176" s="272">
        <v>34541.443573745899</v>
      </c>
    </row>
    <row r="177" spans="1:28" ht="13.5" customHeight="1">
      <c r="A177" s="18">
        <v>17</v>
      </c>
      <c r="B177" s="19" t="s">
        <v>22</v>
      </c>
      <c r="C177" s="251">
        <v>771</v>
      </c>
      <c r="D177" s="252">
        <v>12</v>
      </c>
      <c r="E177" s="252">
        <v>288</v>
      </c>
      <c r="F177" s="252">
        <v>53</v>
      </c>
      <c r="G177" s="252">
        <v>540</v>
      </c>
      <c r="H177" s="252">
        <v>621</v>
      </c>
      <c r="I177" s="252">
        <v>5168</v>
      </c>
      <c r="J177" s="252">
        <v>1499</v>
      </c>
      <c r="K177" s="252">
        <v>973</v>
      </c>
      <c r="L177" s="252">
        <v>10452</v>
      </c>
      <c r="M177" s="252">
        <v>139</v>
      </c>
      <c r="N177" s="252">
        <v>128</v>
      </c>
      <c r="O177" s="252">
        <v>4449</v>
      </c>
      <c r="P177" s="252">
        <v>3816</v>
      </c>
      <c r="Q177" s="252">
        <v>3399</v>
      </c>
      <c r="R177" s="252">
        <v>5888</v>
      </c>
      <c r="S177" s="252">
        <v>1965</v>
      </c>
      <c r="T177" s="252">
        <v>4109</v>
      </c>
      <c r="U177" s="252">
        <v>44270</v>
      </c>
      <c r="V177" s="253">
        <v>-34</v>
      </c>
      <c r="W177" s="254">
        <v>44236</v>
      </c>
      <c r="X177" s="252">
        <v>1071</v>
      </c>
      <c r="Y177" s="252">
        <v>5761</v>
      </c>
      <c r="Z177" s="253">
        <v>37438</v>
      </c>
      <c r="AA177" s="262">
        <v>4524</v>
      </c>
      <c r="AB177" s="272">
        <v>44938.721367592349</v>
      </c>
    </row>
    <row r="178" spans="1:28" ht="13.5" customHeight="1">
      <c r="A178" s="18">
        <v>18</v>
      </c>
      <c r="B178" s="19" t="s">
        <v>23</v>
      </c>
      <c r="C178" s="251">
        <v>747</v>
      </c>
      <c r="D178" s="252">
        <v>1</v>
      </c>
      <c r="E178" s="252">
        <v>174</v>
      </c>
      <c r="F178" s="252">
        <v>18</v>
      </c>
      <c r="G178" s="252">
        <v>178</v>
      </c>
      <c r="H178" s="252">
        <v>488</v>
      </c>
      <c r="I178" s="252">
        <v>1752</v>
      </c>
      <c r="J178" s="252">
        <v>446</v>
      </c>
      <c r="K178" s="252">
        <v>1495</v>
      </c>
      <c r="L178" s="252">
        <v>309</v>
      </c>
      <c r="M178" s="252">
        <v>1705</v>
      </c>
      <c r="N178" s="252">
        <v>34</v>
      </c>
      <c r="O178" s="252">
        <v>1467</v>
      </c>
      <c r="P178" s="252">
        <v>1353</v>
      </c>
      <c r="Q178" s="252">
        <v>1415</v>
      </c>
      <c r="R178" s="252">
        <v>1142</v>
      </c>
      <c r="S178" s="252">
        <v>2053</v>
      </c>
      <c r="T178" s="252">
        <v>871</v>
      </c>
      <c r="U178" s="252">
        <v>15648</v>
      </c>
      <c r="V178" s="253">
        <v>-12</v>
      </c>
      <c r="W178" s="254">
        <v>15636</v>
      </c>
      <c r="X178" s="252">
        <v>922</v>
      </c>
      <c r="Y178" s="252">
        <v>1948</v>
      </c>
      <c r="Z178" s="253">
        <v>12778</v>
      </c>
      <c r="AA178" s="262">
        <v>5629</v>
      </c>
      <c r="AB178" s="272">
        <v>15910.852362340149</v>
      </c>
    </row>
    <row r="179" spans="1:28" ht="13.5" customHeight="1">
      <c r="A179" s="18">
        <v>19</v>
      </c>
      <c r="B179" s="19" t="s">
        <v>24</v>
      </c>
      <c r="C179" s="251">
        <v>805</v>
      </c>
      <c r="D179" s="252">
        <v>0</v>
      </c>
      <c r="E179" s="252">
        <v>73</v>
      </c>
      <c r="F179" s="252">
        <v>18</v>
      </c>
      <c r="G179" s="252">
        <v>577</v>
      </c>
      <c r="H179" s="252">
        <v>11294</v>
      </c>
      <c r="I179" s="252">
        <v>3556</v>
      </c>
      <c r="J179" s="252">
        <v>1066</v>
      </c>
      <c r="K179" s="252">
        <v>2122</v>
      </c>
      <c r="L179" s="252">
        <v>1145</v>
      </c>
      <c r="M179" s="252">
        <v>304</v>
      </c>
      <c r="N179" s="252">
        <v>276</v>
      </c>
      <c r="O179" s="252">
        <v>3750</v>
      </c>
      <c r="P179" s="252">
        <v>464</v>
      </c>
      <c r="Q179" s="252">
        <v>2043</v>
      </c>
      <c r="R179" s="252">
        <v>1391</v>
      </c>
      <c r="S179" s="252">
        <v>4552</v>
      </c>
      <c r="T179" s="252">
        <v>1229</v>
      </c>
      <c r="U179" s="252">
        <v>34665</v>
      </c>
      <c r="V179" s="253">
        <v>-26</v>
      </c>
      <c r="W179" s="254">
        <v>34639</v>
      </c>
      <c r="X179" s="252">
        <v>878</v>
      </c>
      <c r="Y179" s="252">
        <v>4151</v>
      </c>
      <c r="Z179" s="253">
        <v>29636</v>
      </c>
      <c r="AA179" s="262">
        <v>6230</v>
      </c>
      <c r="AB179" s="272">
        <v>37013.669682927808</v>
      </c>
    </row>
    <row r="180" spans="1:28" ht="13.5" customHeight="1">
      <c r="A180" s="20">
        <v>20</v>
      </c>
      <c r="B180" s="21" t="s">
        <v>25</v>
      </c>
      <c r="C180" s="255">
        <v>1923</v>
      </c>
      <c r="D180" s="256">
        <v>1</v>
      </c>
      <c r="E180" s="256">
        <v>129</v>
      </c>
      <c r="F180" s="256">
        <v>0</v>
      </c>
      <c r="G180" s="256">
        <v>575</v>
      </c>
      <c r="H180" s="256">
        <v>279</v>
      </c>
      <c r="I180" s="256">
        <v>2623</v>
      </c>
      <c r="J180" s="256">
        <v>655</v>
      </c>
      <c r="K180" s="256">
        <v>500</v>
      </c>
      <c r="L180" s="256">
        <v>511</v>
      </c>
      <c r="M180" s="256">
        <v>47</v>
      </c>
      <c r="N180" s="256">
        <v>18</v>
      </c>
      <c r="O180" s="256">
        <v>1152</v>
      </c>
      <c r="P180" s="256">
        <v>240</v>
      </c>
      <c r="Q180" s="256">
        <v>1209</v>
      </c>
      <c r="R180" s="256">
        <v>560</v>
      </c>
      <c r="S180" s="256">
        <v>770</v>
      </c>
      <c r="T180" s="256">
        <v>612</v>
      </c>
      <c r="U180" s="256">
        <v>11804</v>
      </c>
      <c r="V180" s="257">
        <v>-9</v>
      </c>
      <c r="W180" s="258">
        <v>11795</v>
      </c>
      <c r="X180" s="256">
        <v>2053</v>
      </c>
      <c r="Y180" s="256">
        <v>3198</v>
      </c>
      <c r="Z180" s="257">
        <v>6553</v>
      </c>
      <c r="AA180" s="263">
        <v>4235</v>
      </c>
      <c r="AB180" s="273">
        <v>12138.689122203497</v>
      </c>
    </row>
    <row r="181" spans="1:28" ht="13.5" customHeight="1">
      <c r="A181" s="18">
        <v>21</v>
      </c>
      <c r="B181" s="19" t="s">
        <v>26</v>
      </c>
      <c r="C181" s="247">
        <v>1112</v>
      </c>
      <c r="D181" s="248">
        <v>5</v>
      </c>
      <c r="E181" s="248">
        <v>107</v>
      </c>
      <c r="F181" s="248">
        <v>110</v>
      </c>
      <c r="G181" s="248">
        <v>4915</v>
      </c>
      <c r="H181" s="248">
        <v>1746</v>
      </c>
      <c r="I181" s="248">
        <v>5761</v>
      </c>
      <c r="J181" s="248">
        <v>3633</v>
      </c>
      <c r="K181" s="248">
        <v>795</v>
      </c>
      <c r="L181" s="248">
        <v>2600</v>
      </c>
      <c r="M181" s="248">
        <v>26</v>
      </c>
      <c r="N181" s="248">
        <v>629</v>
      </c>
      <c r="O181" s="248">
        <v>13379</v>
      </c>
      <c r="P181" s="248">
        <v>1808</v>
      </c>
      <c r="Q181" s="248">
        <v>3029</v>
      </c>
      <c r="R181" s="248">
        <v>3788</v>
      </c>
      <c r="S181" s="248">
        <v>5408</v>
      </c>
      <c r="T181" s="248">
        <v>6042</v>
      </c>
      <c r="U181" s="248">
        <v>54893</v>
      </c>
      <c r="V181" s="249">
        <v>-42</v>
      </c>
      <c r="W181" s="250">
        <v>54851</v>
      </c>
      <c r="X181" s="248">
        <v>1224</v>
      </c>
      <c r="Y181" s="248">
        <v>10786</v>
      </c>
      <c r="Z181" s="249">
        <v>42883</v>
      </c>
      <c r="AA181" s="261">
        <v>4448</v>
      </c>
      <c r="AB181" s="271">
        <v>55491.14178824376</v>
      </c>
    </row>
    <row r="182" spans="1:28" ht="13.5" customHeight="1">
      <c r="A182" s="18">
        <v>22</v>
      </c>
      <c r="B182" s="19" t="s">
        <v>27</v>
      </c>
      <c r="C182" s="251">
        <v>53</v>
      </c>
      <c r="D182" s="252">
        <v>0</v>
      </c>
      <c r="E182" s="252">
        <v>5</v>
      </c>
      <c r="F182" s="252">
        <v>4</v>
      </c>
      <c r="G182" s="252">
        <v>815</v>
      </c>
      <c r="H182" s="252">
        <v>806</v>
      </c>
      <c r="I182" s="252">
        <v>2406</v>
      </c>
      <c r="J182" s="252">
        <v>1645</v>
      </c>
      <c r="K182" s="252">
        <v>397</v>
      </c>
      <c r="L182" s="252">
        <v>1152</v>
      </c>
      <c r="M182" s="252">
        <v>742</v>
      </c>
      <c r="N182" s="252">
        <v>1207</v>
      </c>
      <c r="O182" s="252">
        <v>4042</v>
      </c>
      <c r="P182" s="252">
        <v>2519</v>
      </c>
      <c r="Q182" s="252">
        <v>9737</v>
      </c>
      <c r="R182" s="252">
        <v>1789</v>
      </c>
      <c r="S182" s="252">
        <v>3779</v>
      </c>
      <c r="T182" s="252">
        <v>1758</v>
      </c>
      <c r="U182" s="252">
        <v>32856</v>
      </c>
      <c r="V182" s="253">
        <v>-25</v>
      </c>
      <c r="W182" s="254">
        <v>32831</v>
      </c>
      <c r="X182" s="252">
        <v>58</v>
      </c>
      <c r="Y182" s="252">
        <v>3225</v>
      </c>
      <c r="Z182" s="253">
        <v>29573</v>
      </c>
      <c r="AA182" s="262">
        <v>4224</v>
      </c>
      <c r="AB182" s="272">
        <v>33006.740051370252</v>
      </c>
    </row>
    <row r="183" spans="1:28" ht="13.5" customHeight="1">
      <c r="A183" s="18">
        <v>23</v>
      </c>
      <c r="B183" s="19" t="s">
        <v>28</v>
      </c>
      <c r="C183" s="251">
        <v>1</v>
      </c>
      <c r="D183" s="252">
        <v>0</v>
      </c>
      <c r="E183" s="252">
        <v>64</v>
      </c>
      <c r="F183" s="252">
        <v>14</v>
      </c>
      <c r="G183" s="252">
        <v>512</v>
      </c>
      <c r="H183" s="252">
        <v>5208</v>
      </c>
      <c r="I183" s="252">
        <v>9779</v>
      </c>
      <c r="J183" s="252">
        <v>8164</v>
      </c>
      <c r="K183" s="252">
        <v>739</v>
      </c>
      <c r="L183" s="252">
        <v>5497</v>
      </c>
      <c r="M183" s="252">
        <v>2865</v>
      </c>
      <c r="N183" s="252">
        <v>2326</v>
      </c>
      <c r="O183" s="252">
        <v>14321</v>
      </c>
      <c r="P183" s="252">
        <v>6556</v>
      </c>
      <c r="Q183" s="252">
        <v>2745</v>
      </c>
      <c r="R183" s="252">
        <v>2855</v>
      </c>
      <c r="S183" s="252">
        <v>5309</v>
      </c>
      <c r="T183" s="252">
        <v>6247</v>
      </c>
      <c r="U183" s="252">
        <v>73202</v>
      </c>
      <c r="V183" s="253">
        <v>-56</v>
      </c>
      <c r="W183" s="254">
        <v>73146</v>
      </c>
      <c r="X183" s="252">
        <v>65</v>
      </c>
      <c r="Y183" s="252">
        <v>10305</v>
      </c>
      <c r="Z183" s="253">
        <v>62832</v>
      </c>
      <c r="AA183" s="262">
        <v>5386</v>
      </c>
      <c r="AB183" s="272">
        <v>73780.867533589466</v>
      </c>
    </row>
    <row r="184" spans="1:28" ht="13.5" customHeight="1">
      <c r="A184" s="18">
        <v>24</v>
      </c>
      <c r="B184" s="19" t="s">
        <v>29</v>
      </c>
      <c r="C184" s="251">
        <v>33</v>
      </c>
      <c r="D184" s="252">
        <v>0</v>
      </c>
      <c r="E184" s="252">
        <v>89</v>
      </c>
      <c r="F184" s="252">
        <v>4</v>
      </c>
      <c r="G184" s="252">
        <v>273</v>
      </c>
      <c r="H184" s="252">
        <v>620</v>
      </c>
      <c r="I184" s="252">
        <v>2351</v>
      </c>
      <c r="J184" s="252">
        <v>2492</v>
      </c>
      <c r="K184" s="252">
        <v>1007</v>
      </c>
      <c r="L184" s="252">
        <v>1926</v>
      </c>
      <c r="M184" s="252">
        <v>627</v>
      </c>
      <c r="N184" s="252">
        <v>526</v>
      </c>
      <c r="O184" s="252">
        <v>5828</v>
      </c>
      <c r="P184" s="252">
        <v>2054</v>
      </c>
      <c r="Q184" s="252">
        <v>1375</v>
      </c>
      <c r="R184" s="252">
        <v>3453</v>
      </c>
      <c r="S184" s="252">
        <v>5914</v>
      </c>
      <c r="T184" s="252">
        <v>1707</v>
      </c>
      <c r="U184" s="252">
        <v>30279</v>
      </c>
      <c r="V184" s="253">
        <v>-24</v>
      </c>
      <c r="W184" s="254">
        <v>30255</v>
      </c>
      <c r="X184" s="252">
        <v>122</v>
      </c>
      <c r="Y184" s="252">
        <v>2628</v>
      </c>
      <c r="Z184" s="253">
        <v>27529</v>
      </c>
      <c r="AA184" s="262">
        <v>4273</v>
      </c>
      <c r="AB184" s="272">
        <v>30512.470558491015</v>
      </c>
    </row>
    <row r="185" spans="1:28" ht="13.5" customHeight="1">
      <c r="A185" s="18">
        <v>25</v>
      </c>
      <c r="B185" s="19" t="s">
        <v>30</v>
      </c>
      <c r="C185" s="251">
        <v>275</v>
      </c>
      <c r="D185" s="252">
        <v>0</v>
      </c>
      <c r="E185" s="252">
        <v>18</v>
      </c>
      <c r="F185" s="252">
        <v>189</v>
      </c>
      <c r="G185" s="252">
        <v>4198</v>
      </c>
      <c r="H185" s="252">
        <v>14475</v>
      </c>
      <c r="I185" s="252">
        <v>4206</v>
      </c>
      <c r="J185" s="252">
        <v>3266</v>
      </c>
      <c r="K185" s="252">
        <v>1163</v>
      </c>
      <c r="L185" s="252">
        <v>670</v>
      </c>
      <c r="M185" s="252">
        <v>1051</v>
      </c>
      <c r="N185" s="252">
        <v>323</v>
      </c>
      <c r="O185" s="252">
        <v>6104</v>
      </c>
      <c r="P185" s="252">
        <v>1831</v>
      </c>
      <c r="Q185" s="252">
        <v>1381</v>
      </c>
      <c r="R185" s="252">
        <v>1587</v>
      </c>
      <c r="S185" s="252">
        <v>8070</v>
      </c>
      <c r="T185" s="252">
        <v>3033</v>
      </c>
      <c r="U185" s="252">
        <v>51840</v>
      </c>
      <c r="V185" s="253">
        <v>-40</v>
      </c>
      <c r="W185" s="254">
        <v>51800</v>
      </c>
      <c r="X185" s="252">
        <v>293</v>
      </c>
      <c r="Y185" s="252">
        <v>8593</v>
      </c>
      <c r="Z185" s="253">
        <v>42954</v>
      </c>
      <c r="AA185" s="262">
        <v>6594</v>
      </c>
      <c r="AB185" s="272">
        <v>54529.585869849056</v>
      </c>
    </row>
    <row r="186" spans="1:28" ht="13.5" customHeight="1">
      <c r="A186" s="20">
        <v>26</v>
      </c>
      <c r="B186" s="21" t="s">
        <v>31</v>
      </c>
      <c r="C186" s="255">
        <v>220</v>
      </c>
      <c r="D186" s="256">
        <v>1</v>
      </c>
      <c r="E186" s="256">
        <v>67</v>
      </c>
      <c r="F186" s="256">
        <v>11</v>
      </c>
      <c r="G186" s="256">
        <v>3071</v>
      </c>
      <c r="H186" s="256">
        <v>4839</v>
      </c>
      <c r="I186" s="256">
        <v>4608</v>
      </c>
      <c r="J186" s="256">
        <v>13687</v>
      </c>
      <c r="K186" s="256">
        <v>4809</v>
      </c>
      <c r="L186" s="256">
        <v>1916</v>
      </c>
      <c r="M186" s="256">
        <v>362</v>
      </c>
      <c r="N186" s="256">
        <v>849</v>
      </c>
      <c r="O186" s="256">
        <v>9261</v>
      </c>
      <c r="P186" s="256">
        <v>3961</v>
      </c>
      <c r="Q186" s="256">
        <v>2471</v>
      </c>
      <c r="R186" s="256">
        <v>21024</v>
      </c>
      <c r="S186" s="256">
        <v>14698</v>
      </c>
      <c r="T186" s="256">
        <v>4636</v>
      </c>
      <c r="U186" s="256">
        <v>90491</v>
      </c>
      <c r="V186" s="257">
        <v>-69</v>
      </c>
      <c r="W186" s="258">
        <v>90422</v>
      </c>
      <c r="X186" s="256">
        <v>288</v>
      </c>
      <c r="Y186" s="256">
        <v>7690</v>
      </c>
      <c r="Z186" s="257">
        <v>82513</v>
      </c>
      <c r="AA186" s="263">
        <v>4360</v>
      </c>
      <c r="AB186" s="273">
        <v>91493.684964877233</v>
      </c>
    </row>
    <row r="187" spans="1:28" ht="13.5" customHeight="1">
      <c r="A187" s="18">
        <v>27</v>
      </c>
      <c r="B187" s="19" t="s">
        <v>32</v>
      </c>
      <c r="C187" s="247">
        <v>218</v>
      </c>
      <c r="D187" s="248">
        <v>0</v>
      </c>
      <c r="E187" s="248">
        <v>170</v>
      </c>
      <c r="F187" s="248">
        <v>0</v>
      </c>
      <c r="G187" s="248">
        <v>688</v>
      </c>
      <c r="H187" s="248">
        <v>601</v>
      </c>
      <c r="I187" s="248">
        <v>3070</v>
      </c>
      <c r="J187" s="248">
        <v>4654</v>
      </c>
      <c r="K187" s="248">
        <v>688</v>
      </c>
      <c r="L187" s="248">
        <v>1243</v>
      </c>
      <c r="M187" s="248">
        <v>438</v>
      </c>
      <c r="N187" s="248">
        <v>1777</v>
      </c>
      <c r="O187" s="248">
        <v>5660</v>
      </c>
      <c r="P187" s="248">
        <v>1129</v>
      </c>
      <c r="Q187" s="248">
        <v>2813</v>
      </c>
      <c r="R187" s="248">
        <v>2382</v>
      </c>
      <c r="S187" s="248">
        <v>5915</v>
      </c>
      <c r="T187" s="248">
        <v>1680</v>
      </c>
      <c r="U187" s="248">
        <v>33126</v>
      </c>
      <c r="V187" s="249">
        <v>-25</v>
      </c>
      <c r="W187" s="250">
        <v>33101</v>
      </c>
      <c r="X187" s="248">
        <v>388</v>
      </c>
      <c r="Y187" s="248">
        <v>3758</v>
      </c>
      <c r="Z187" s="249">
        <v>28980</v>
      </c>
      <c r="AA187" s="261">
        <v>5120</v>
      </c>
      <c r="AB187" s="271">
        <v>33295.305112741451</v>
      </c>
    </row>
    <row r="188" spans="1:28" ht="13.5" customHeight="1">
      <c r="A188" s="18">
        <v>28</v>
      </c>
      <c r="B188" s="19" t="s">
        <v>33</v>
      </c>
      <c r="C188" s="251">
        <v>719</v>
      </c>
      <c r="D188" s="252">
        <v>7</v>
      </c>
      <c r="E188" s="252">
        <v>0</v>
      </c>
      <c r="F188" s="252">
        <v>18</v>
      </c>
      <c r="G188" s="252">
        <v>3494</v>
      </c>
      <c r="H188" s="252">
        <v>2190</v>
      </c>
      <c r="I188" s="252">
        <v>8416</v>
      </c>
      <c r="J188" s="252">
        <v>12536</v>
      </c>
      <c r="K188" s="252">
        <v>2761</v>
      </c>
      <c r="L188" s="252">
        <v>2636</v>
      </c>
      <c r="M188" s="252">
        <v>183</v>
      </c>
      <c r="N188" s="252">
        <v>1224</v>
      </c>
      <c r="O188" s="252">
        <v>10840</v>
      </c>
      <c r="P188" s="252">
        <v>3831</v>
      </c>
      <c r="Q188" s="252">
        <v>2908</v>
      </c>
      <c r="R188" s="252">
        <v>4998</v>
      </c>
      <c r="S188" s="252">
        <v>22420</v>
      </c>
      <c r="T188" s="252">
        <v>6846</v>
      </c>
      <c r="U188" s="252">
        <v>86027</v>
      </c>
      <c r="V188" s="253">
        <v>-66</v>
      </c>
      <c r="W188" s="254">
        <v>85961</v>
      </c>
      <c r="X188" s="252">
        <v>726</v>
      </c>
      <c r="Y188" s="252">
        <v>11928</v>
      </c>
      <c r="Z188" s="253">
        <v>73373</v>
      </c>
      <c r="AA188" s="262">
        <v>4931</v>
      </c>
      <c r="AB188" s="272">
        <v>86551.807710502573</v>
      </c>
    </row>
    <row r="189" spans="1:28" ht="13.5" customHeight="1">
      <c r="A189" s="18">
        <v>29</v>
      </c>
      <c r="B189" s="19" t="s">
        <v>34</v>
      </c>
      <c r="C189" s="251">
        <v>3</v>
      </c>
      <c r="D189" s="252">
        <v>4</v>
      </c>
      <c r="E189" s="252">
        <v>17</v>
      </c>
      <c r="F189" s="252">
        <v>0</v>
      </c>
      <c r="G189" s="252">
        <v>44</v>
      </c>
      <c r="H189" s="252">
        <v>157</v>
      </c>
      <c r="I189" s="252">
        <v>352</v>
      </c>
      <c r="J189" s="252">
        <v>27</v>
      </c>
      <c r="K189" s="252">
        <v>265</v>
      </c>
      <c r="L189" s="252">
        <v>436</v>
      </c>
      <c r="M189" s="252">
        <v>0</v>
      </c>
      <c r="N189" s="252">
        <v>5</v>
      </c>
      <c r="O189" s="252">
        <v>108</v>
      </c>
      <c r="P189" s="252">
        <v>46</v>
      </c>
      <c r="Q189" s="252">
        <v>435</v>
      </c>
      <c r="R189" s="252">
        <v>299</v>
      </c>
      <c r="S189" s="252">
        <v>148</v>
      </c>
      <c r="T189" s="252">
        <v>613</v>
      </c>
      <c r="U189" s="252">
        <v>2959</v>
      </c>
      <c r="V189" s="253">
        <v>-3</v>
      </c>
      <c r="W189" s="254">
        <v>2956</v>
      </c>
      <c r="X189" s="252">
        <v>24</v>
      </c>
      <c r="Y189" s="252">
        <v>396</v>
      </c>
      <c r="Z189" s="253">
        <v>2539</v>
      </c>
      <c r="AA189" s="262">
        <v>5114</v>
      </c>
      <c r="AB189" s="272">
        <v>3021.5887690702693</v>
      </c>
    </row>
    <row r="190" spans="1:28" ht="13.5" customHeight="1">
      <c r="A190" s="18">
        <v>30</v>
      </c>
      <c r="B190" s="19" t="s">
        <v>35</v>
      </c>
      <c r="C190" s="251">
        <v>2</v>
      </c>
      <c r="D190" s="252">
        <v>0</v>
      </c>
      <c r="E190" s="252">
        <v>35</v>
      </c>
      <c r="F190" s="252">
        <v>0</v>
      </c>
      <c r="G190" s="252">
        <v>35</v>
      </c>
      <c r="H190" s="252">
        <v>127</v>
      </c>
      <c r="I190" s="252">
        <v>887</v>
      </c>
      <c r="J190" s="252">
        <v>94</v>
      </c>
      <c r="K190" s="252">
        <v>176</v>
      </c>
      <c r="L190" s="252">
        <v>618</v>
      </c>
      <c r="M190" s="252">
        <v>0</v>
      </c>
      <c r="N190" s="252">
        <v>8</v>
      </c>
      <c r="O190" s="252">
        <v>198</v>
      </c>
      <c r="P190" s="252">
        <v>152</v>
      </c>
      <c r="Q190" s="252">
        <v>460</v>
      </c>
      <c r="R190" s="252">
        <v>503</v>
      </c>
      <c r="S190" s="252">
        <v>208</v>
      </c>
      <c r="T190" s="252">
        <v>808</v>
      </c>
      <c r="U190" s="252">
        <v>4311</v>
      </c>
      <c r="V190" s="253">
        <v>-3</v>
      </c>
      <c r="W190" s="254">
        <v>4308</v>
      </c>
      <c r="X190" s="252">
        <v>37</v>
      </c>
      <c r="Y190" s="252">
        <v>922</v>
      </c>
      <c r="Z190" s="253">
        <v>3352</v>
      </c>
      <c r="AA190" s="262">
        <v>6468</v>
      </c>
      <c r="AB190" s="272">
        <v>4380.1604574434996</v>
      </c>
    </row>
    <row r="191" spans="1:28" ht="13.5" customHeight="1">
      <c r="A191" s="18">
        <v>31</v>
      </c>
      <c r="B191" s="19" t="s">
        <v>36</v>
      </c>
      <c r="C191" s="251">
        <v>56</v>
      </c>
      <c r="D191" s="252">
        <v>0</v>
      </c>
      <c r="E191" s="252">
        <v>4</v>
      </c>
      <c r="F191" s="252">
        <v>18</v>
      </c>
      <c r="G191" s="252">
        <v>125</v>
      </c>
      <c r="H191" s="252">
        <v>91</v>
      </c>
      <c r="I191" s="252">
        <v>528</v>
      </c>
      <c r="J191" s="252">
        <v>25</v>
      </c>
      <c r="K191" s="252">
        <v>135</v>
      </c>
      <c r="L191" s="252">
        <v>70</v>
      </c>
      <c r="M191" s="252">
        <v>0</v>
      </c>
      <c r="N191" s="252">
        <v>4</v>
      </c>
      <c r="O191" s="252">
        <v>194</v>
      </c>
      <c r="P191" s="252">
        <v>13</v>
      </c>
      <c r="Q191" s="252">
        <v>410</v>
      </c>
      <c r="R191" s="252">
        <v>250</v>
      </c>
      <c r="S191" s="252">
        <v>408</v>
      </c>
      <c r="T191" s="252">
        <v>64</v>
      </c>
      <c r="U191" s="252">
        <v>2395</v>
      </c>
      <c r="V191" s="253">
        <v>-2</v>
      </c>
      <c r="W191" s="254">
        <v>2393</v>
      </c>
      <c r="X191" s="252">
        <v>60</v>
      </c>
      <c r="Y191" s="252">
        <v>671</v>
      </c>
      <c r="Z191" s="253">
        <v>1664</v>
      </c>
      <c r="AA191" s="262">
        <v>5365</v>
      </c>
      <c r="AB191" s="272">
        <v>2435.5771765452396</v>
      </c>
    </row>
    <row r="192" spans="1:28" ht="13.5" customHeight="1">
      <c r="A192" s="18">
        <v>32</v>
      </c>
      <c r="B192" s="19" t="s">
        <v>37</v>
      </c>
      <c r="C192" s="251">
        <v>3</v>
      </c>
      <c r="D192" s="252">
        <v>0</v>
      </c>
      <c r="E192" s="252">
        <v>76</v>
      </c>
      <c r="F192" s="252">
        <v>0</v>
      </c>
      <c r="G192" s="252">
        <v>11</v>
      </c>
      <c r="H192" s="252">
        <v>47</v>
      </c>
      <c r="I192" s="252">
        <v>392</v>
      </c>
      <c r="J192" s="252">
        <v>16</v>
      </c>
      <c r="K192" s="252">
        <v>38</v>
      </c>
      <c r="L192" s="252">
        <v>45</v>
      </c>
      <c r="M192" s="252">
        <v>0</v>
      </c>
      <c r="N192" s="252">
        <v>5</v>
      </c>
      <c r="O192" s="252">
        <v>62</v>
      </c>
      <c r="P192" s="252">
        <v>0</v>
      </c>
      <c r="Q192" s="252">
        <v>290</v>
      </c>
      <c r="R192" s="252">
        <v>177</v>
      </c>
      <c r="S192" s="252">
        <v>128</v>
      </c>
      <c r="T192" s="252">
        <v>17</v>
      </c>
      <c r="U192" s="252">
        <v>1307</v>
      </c>
      <c r="V192" s="253">
        <v>-1</v>
      </c>
      <c r="W192" s="254">
        <v>1306</v>
      </c>
      <c r="X192" s="252">
        <v>79</v>
      </c>
      <c r="Y192" s="252">
        <v>403</v>
      </c>
      <c r="Z192" s="253">
        <v>825</v>
      </c>
      <c r="AA192" s="262">
        <v>3970</v>
      </c>
      <c r="AB192" s="272">
        <v>1330.8132964403849</v>
      </c>
    </row>
    <row r="193" spans="1:28" ht="13.5" customHeight="1">
      <c r="A193" s="18">
        <v>33</v>
      </c>
      <c r="B193" s="19" t="s">
        <v>38</v>
      </c>
      <c r="C193" s="251">
        <v>632</v>
      </c>
      <c r="D193" s="252">
        <v>0</v>
      </c>
      <c r="E193" s="252">
        <v>33</v>
      </c>
      <c r="F193" s="252">
        <v>64</v>
      </c>
      <c r="G193" s="252">
        <v>842</v>
      </c>
      <c r="H193" s="252">
        <v>259</v>
      </c>
      <c r="I193" s="252">
        <v>1422</v>
      </c>
      <c r="J193" s="252">
        <v>223</v>
      </c>
      <c r="K193" s="252">
        <v>82</v>
      </c>
      <c r="L193" s="252">
        <v>165</v>
      </c>
      <c r="M193" s="252">
        <v>0</v>
      </c>
      <c r="N193" s="252">
        <v>5</v>
      </c>
      <c r="O193" s="252">
        <v>114</v>
      </c>
      <c r="P193" s="252">
        <v>75</v>
      </c>
      <c r="Q193" s="252">
        <v>757</v>
      </c>
      <c r="R193" s="252">
        <v>290</v>
      </c>
      <c r="S193" s="252">
        <v>155</v>
      </c>
      <c r="T193" s="252">
        <v>156</v>
      </c>
      <c r="U193" s="252">
        <v>5274</v>
      </c>
      <c r="V193" s="253">
        <v>-4</v>
      </c>
      <c r="W193" s="254">
        <v>5270</v>
      </c>
      <c r="X193" s="252">
        <v>665</v>
      </c>
      <c r="Y193" s="252">
        <v>2328</v>
      </c>
      <c r="Z193" s="253">
        <v>2281</v>
      </c>
      <c r="AA193" s="262">
        <v>4866</v>
      </c>
      <c r="AB193" s="272">
        <v>5427.8239542483061</v>
      </c>
    </row>
    <row r="194" spans="1:28" ht="13.5" customHeight="1">
      <c r="A194" s="18">
        <v>34</v>
      </c>
      <c r="B194" s="19" t="s">
        <v>39</v>
      </c>
      <c r="C194" s="251">
        <v>250</v>
      </c>
      <c r="D194" s="252">
        <v>0</v>
      </c>
      <c r="E194" s="252">
        <v>6</v>
      </c>
      <c r="F194" s="252">
        <v>0</v>
      </c>
      <c r="G194" s="252">
        <v>130</v>
      </c>
      <c r="H194" s="252">
        <v>69</v>
      </c>
      <c r="I194" s="252">
        <v>2084</v>
      </c>
      <c r="J194" s="252">
        <v>56</v>
      </c>
      <c r="K194" s="252">
        <v>82</v>
      </c>
      <c r="L194" s="252">
        <v>135</v>
      </c>
      <c r="M194" s="252">
        <v>0</v>
      </c>
      <c r="N194" s="252">
        <v>4</v>
      </c>
      <c r="O194" s="252">
        <v>32</v>
      </c>
      <c r="P194" s="252">
        <v>6</v>
      </c>
      <c r="Q194" s="252">
        <v>355</v>
      </c>
      <c r="R194" s="252">
        <v>260</v>
      </c>
      <c r="S194" s="252">
        <v>117</v>
      </c>
      <c r="T194" s="252">
        <v>52</v>
      </c>
      <c r="U194" s="252">
        <v>3638</v>
      </c>
      <c r="V194" s="253">
        <v>-3</v>
      </c>
      <c r="W194" s="254">
        <v>3635</v>
      </c>
      <c r="X194" s="252">
        <v>256</v>
      </c>
      <c r="Y194" s="252">
        <v>2214</v>
      </c>
      <c r="Z194" s="253">
        <v>1168</v>
      </c>
      <c r="AA194" s="262">
        <v>6491</v>
      </c>
      <c r="AB194" s="272">
        <v>3708.5985360651243</v>
      </c>
    </row>
    <row r="195" spans="1:28" ht="13.5" customHeight="1">
      <c r="A195" s="18">
        <v>35</v>
      </c>
      <c r="B195" s="19" t="s">
        <v>40</v>
      </c>
      <c r="C195" s="251">
        <v>123</v>
      </c>
      <c r="D195" s="252">
        <v>3</v>
      </c>
      <c r="E195" s="252">
        <v>90</v>
      </c>
      <c r="F195" s="252">
        <v>0</v>
      </c>
      <c r="G195" s="252">
        <v>196</v>
      </c>
      <c r="H195" s="252">
        <v>126</v>
      </c>
      <c r="I195" s="252">
        <v>734</v>
      </c>
      <c r="J195" s="252">
        <v>210</v>
      </c>
      <c r="K195" s="252">
        <v>290</v>
      </c>
      <c r="L195" s="252">
        <v>113</v>
      </c>
      <c r="M195" s="252">
        <v>0</v>
      </c>
      <c r="N195" s="252">
        <v>5</v>
      </c>
      <c r="O195" s="252">
        <v>144</v>
      </c>
      <c r="P195" s="252">
        <v>119</v>
      </c>
      <c r="Q195" s="252">
        <v>655</v>
      </c>
      <c r="R195" s="252">
        <v>480</v>
      </c>
      <c r="S195" s="252">
        <v>170</v>
      </c>
      <c r="T195" s="252">
        <v>185</v>
      </c>
      <c r="U195" s="252">
        <v>3643</v>
      </c>
      <c r="V195" s="253">
        <v>-3</v>
      </c>
      <c r="W195" s="254">
        <v>3640</v>
      </c>
      <c r="X195" s="252">
        <v>216</v>
      </c>
      <c r="Y195" s="252">
        <v>930</v>
      </c>
      <c r="Z195" s="253">
        <v>2497</v>
      </c>
      <c r="AA195" s="262">
        <v>4771</v>
      </c>
      <c r="AB195" s="272">
        <v>3709.8453663081264</v>
      </c>
    </row>
    <row r="196" spans="1:28" ht="13.5" customHeight="1">
      <c r="A196" s="18">
        <v>36</v>
      </c>
      <c r="B196" s="19" t="s">
        <v>41</v>
      </c>
      <c r="C196" s="251">
        <v>355</v>
      </c>
      <c r="D196" s="252">
        <v>0</v>
      </c>
      <c r="E196" s="252">
        <v>139</v>
      </c>
      <c r="F196" s="252">
        <v>0</v>
      </c>
      <c r="G196" s="252">
        <v>422</v>
      </c>
      <c r="H196" s="252">
        <v>50</v>
      </c>
      <c r="I196" s="252">
        <v>1862</v>
      </c>
      <c r="J196" s="252">
        <v>160</v>
      </c>
      <c r="K196" s="252">
        <v>380</v>
      </c>
      <c r="L196" s="252">
        <v>202</v>
      </c>
      <c r="M196" s="252">
        <v>0</v>
      </c>
      <c r="N196" s="252">
        <v>5</v>
      </c>
      <c r="O196" s="252">
        <v>268</v>
      </c>
      <c r="P196" s="252">
        <v>27</v>
      </c>
      <c r="Q196" s="252">
        <v>685</v>
      </c>
      <c r="R196" s="252">
        <v>328</v>
      </c>
      <c r="S196" s="252">
        <v>356</v>
      </c>
      <c r="T196" s="252">
        <v>176</v>
      </c>
      <c r="U196" s="252">
        <v>5415</v>
      </c>
      <c r="V196" s="253">
        <v>-4</v>
      </c>
      <c r="W196" s="254">
        <v>5411</v>
      </c>
      <c r="X196" s="252">
        <v>494</v>
      </c>
      <c r="Y196" s="252">
        <v>2284</v>
      </c>
      <c r="Z196" s="253">
        <v>2637</v>
      </c>
      <c r="AA196" s="262">
        <v>5744</v>
      </c>
      <c r="AB196" s="272">
        <v>5559.3251797920266</v>
      </c>
    </row>
    <row r="197" spans="1:28" ht="13.5" customHeight="1">
      <c r="A197" s="18">
        <v>37</v>
      </c>
      <c r="B197" s="19" t="s">
        <v>49</v>
      </c>
      <c r="C197" s="251">
        <v>1330</v>
      </c>
      <c r="D197" s="252">
        <v>0</v>
      </c>
      <c r="E197" s="252">
        <v>629</v>
      </c>
      <c r="F197" s="252">
        <v>18</v>
      </c>
      <c r="G197" s="252">
        <v>2562</v>
      </c>
      <c r="H197" s="252">
        <v>1175</v>
      </c>
      <c r="I197" s="252">
        <v>1804</v>
      </c>
      <c r="J197" s="252">
        <v>1223</v>
      </c>
      <c r="K197" s="252">
        <v>918</v>
      </c>
      <c r="L197" s="252">
        <v>1035</v>
      </c>
      <c r="M197" s="252">
        <v>0</v>
      </c>
      <c r="N197" s="252">
        <v>200</v>
      </c>
      <c r="O197" s="252">
        <v>2008</v>
      </c>
      <c r="P197" s="252">
        <v>661</v>
      </c>
      <c r="Q197" s="252">
        <v>3792</v>
      </c>
      <c r="R197" s="252">
        <v>1694</v>
      </c>
      <c r="S197" s="252">
        <v>1810</v>
      </c>
      <c r="T197" s="252">
        <v>980</v>
      </c>
      <c r="U197" s="252">
        <v>21839</v>
      </c>
      <c r="V197" s="253">
        <v>-16</v>
      </c>
      <c r="W197" s="254">
        <v>21823</v>
      </c>
      <c r="X197" s="252">
        <v>1959</v>
      </c>
      <c r="Y197" s="252">
        <v>4384</v>
      </c>
      <c r="Z197" s="253">
        <v>15496</v>
      </c>
      <c r="AA197" s="262">
        <v>4475</v>
      </c>
      <c r="AB197" s="272">
        <v>22356.320113396643</v>
      </c>
    </row>
    <row r="198" spans="1:28" ht="13.5" customHeight="1">
      <c r="A198" s="20">
        <v>38</v>
      </c>
      <c r="B198" s="21" t="s">
        <v>50</v>
      </c>
      <c r="C198" s="255">
        <v>3170</v>
      </c>
      <c r="D198" s="256">
        <v>0</v>
      </c>
      <c r="E198" s="256">
        <v>146</v>
      </c>
      <c r="F198" s="256">
        <v>53</v>
      </c>
      <c r="G198" s="256">
        <v>1965</v>
      </c>
      <c r="H198" s="256">
        <v>1479</v>
      </c>
      <c r="I198" s="256">
        <v>5405</v>
      </c>
      <c r="J198" s="256">
        <v>3283</v>
      </c>
      <c r="K198" s="256">
        <v>1387</v>
      </c>
      <c r="L198" s="256">
        <v>716</v>
      </c>
      <c r="M198" s="256">
        <v>32</v>
      </c>
      <c r="N198" s="256">
        <v>361</v>
      </c>
      <c r="O198" s="256">
        <v>7508</v>
      </c>
      <c r="P198" s="256">
        <v>1924</v>
      </c>
      <c r="Q198" s="256">
        <v>6440</v>
      </c>
      <c r="R198" s="256">
        <v>5275</v>
      </c>
      <c r="S198" s="256">
        <v>8855</v>
      </c>
      <c r="T198" s="256">
        <v>3294</v>
      </c>
      <c r="U198" s="256">
        <v>51293</v>
      </c>
      <c r="V198" s="257">
        <v>-39</v>
      </c>
      <c r="W198" s="258">
        <v>51254</v>
      </c>
      <c r="X198" s="256">
        <v>3316</v>
      </c>
      <c r="Y198" s="256">
        <v>7423</v>
      </c>
      <c r="Z198" s="257">
        <v>40554</v>
      </c>
      <c r="AA198" s="263">
        <v>5193</v>
      </c>
      <c r="AB198" s="273">
        <v>51920.945770172155</v>
      </c>
    </row>
    <row r="199" spans="1:28" ht="13.5" customHeight="1">
      <c r="A199" s="20">
        <v>39</v>
      </c>
      <c r="B199" s="21" t="s">
        <v>42</v>
      </c>
      <c r="C199" s="243">
        <v>723</v>
      </c>
      <c r="D199" s="244">
        <v>0</v>
      </c>
      <c r="E199" s="244">
        <v>1</v>
      </c>
      <c r="F199" s="244">
        <v>0</v>
      </c>
      <c r="G199" s="244">
        <v>654</v>
      </c>
      <c r="H199" s="244">
        <v>76</v>
      </c>
      <c r="I199" s="244">
        <v>639</v>
      </c>
      <c r="J199" s="244">
        <v>114</v>
      </c>
      <c r="K199" s="244">
        <v>150</v>
      </c>
      <c r="L199" s="244">
        <v>93</v>
      </c>
      <c r="M199" s="244">
        <v>0</v>
      </c>
      <c r="N199" s="244">
        <v>5</v>
      </c>
      <c r="O199" s="244">
        <v>220</v>
      </c>
      <c r="P199" s="244">
        <v>38</v>
      </c>
      <c r="Q199" s="244">
        <v>595</v>
      </c>
      <c r="R199" s="244">
        <v>330</v>
      </c>
      <c r="S199" s="244">
        <v>152</v>
      </c>
      <c r="T199" s="244">
        <v>93</v>
      </c>
      <c r="U199" s="244">
        <v>3883</v>
      </c>
      <c r="V199" s="245">
        <v>-3</v>
      </c>
      <c r="W199" s="246">
        <v>3880</v>
      </c>
      <c r="X199" s="244">
        <v>724</v>
      </c>
      <c r="Y199" s="244">
        <v>1293</v>
      </c>
      <c r="Z199" s="245">
        <v>1866</v>
      </c>
      <c r="AA199" s="260">
        <v>5160</v>
      </c>
      <c r="AB199" s="270">
        <v>3987.9029207339336</v>
      </c>
    </row>
    <row r="200" spans="1:28" ht="13.5" customHeight="1">
      <c r="A200" s="18">
        <v>40</v>
      </c>
      <c r="B200" s="19" t="s">
        <v>43</v>
      </c>
      <c r="C200" s="247">
        <v>1170</v>
      </c>
      <c r="D200" s="248">
        <v>8</v>
      </c>
      <c r="E200" s="248">
        <v>64</v>
      </c>
      <c r="F200" s="248">
        <v>0</v>
      </c>
      <c r="G200" s="248">
        <v>577</v>
      </c>
      <c r="H200" s="248">
        <v>338</v>
      </c>
      <c r="I200" s="248">
        <v>2520</v>
      </c>
      <c r="J200" s="248">
        <v>358</v>
      </c>
      <c r="K200" s="248">
        <v>1273</v>
      </c>
      <c r="L200" s="248">
        <v>2169</v>
      </c>
      <c r="M200" s="248">
        <v>0</v>
      </c>
      <c r="N200" s="248">
        <v>25</v>
      </c>
      <c r="O200" s="248">
        <v>1055</v>
      </c>
      <c r="P200" s="248">
        <v>765</v>
      </c>
      <c r="Q200" s="248">
        <v>518</v>
      </c>
      <c r="R200" s="248">
        <v>1890</v>
      </c>
      <c r="S200" s="248">
        <v>477</v>
      </c>
      <c r="T200" s="248">
        <v>2008</v>
      </c>
      <c r="U200" s="248">
        <v>15215</v>
      </c>
      <c r="V200" s="249">
        <v>-11</v>
      </c>
      <c r="W200" s="250">
        <v>15204</v>
      </c>
      <c r="X200" s="248">
        <v>1242</v>
      </c>
      <c r="Y200" s="248">
        <v>3097</v>
      </c>
      <c r="Z200" s="249">
        <v>10876</v>
      </c>
      <c r="AA200" s="261">
        <v>5261</v>
      </c>
      <c r="AB200" s="271">
        <v>15624.689978098038</v>
      </c>
    </row>
    <row r="201" spans="1:28" ht="13.5" customHeight="1">
      <c r="A201" s="20">
        <v>41</v>
      </c>
      <c r="B201" s="21" t="s">
        <v>44</v>
      </c>
      <c r="C201" s="255">
        <v>191</v>
      </c>
      <c r="D201" s="256">
        <v>0</v>
      </c>
      <c r="E201" s="256">
        <v>109</v>
      </c>
      <c r="F201" s="256">
        <v>14</v>
      </c>
      <c r="G201" s="256">
        <v>540</v>
      </c>
      <c r="H201" s="256">
        <v>271</v>
      </c>
      <c r="I201" s="256">
        <v>8551</v>
      </c>
      <c r="J201" s="256">
        <v>173</v>
      </c>
      <c r="K201" s="256">
        <v>396</v>
      </c>
      <c r="L201" s="256">
        <v>409</v>
      </c>
      <c r="M201" s="256">
        <v>0</v>
      </c>
      <c r="N201" s="256">
        <v>6</v>
      </c>
      <c r="O201" s="256">
        <v>341</v>
      </c>
      <c r="P201" s="256">
        <v>152</v>
      </c>
      <c r="Q201" s="256">
        <v>749</v>
      </c>
      <c r="R201" s="256">
        <v>620</v>
      </c>
      <c r="S201" s="256">
        <v>395</v>
      </c>
      <c r="T201" s="256">
        <v>291</v>
      </c>
      <c r="U201" s="256">
        <v>13208</v>
      </c>
      <c r="V201" s="257">
        <v>-10</v>
      </c>
      <c r="W201" s="258">
        <v>13198</v>
      </c>
      <c r="X201" s="256">
        <v>300</v>
      </c>
      <c r="Y201" s="256">
        <v>9105</v>
      </c>
      <c r="Z201" s="257">
        <v>3803</v>
      </c>
      <c r="AA201" s="263">
        <v>8290</v>
      </c>
      <c r="AB201" s="273">
        <v>13425.137775445524</v>
      </c>
    </row>
    <row r="202" spans="1:28" ht="15.75" customHeight="1">
      <c r="A202" s="111" t="s">
        <v>146</v>
      </c>
      <c r="B202" s="7" t="s">
        <v>152</v>
      </c>
      <c r="C202" s="247">
        <v>14544</v>
      </c>
      <c r="D202" s="248">
        <v>222</v>
      </c>
      <c r="E202" s="248">
        <v>2021</v>
      </c>
      <c r="F202" s="248">
        <v>1708</v>
      </c>
      <c r="G202" s="248">
        <v>21647</v>
      </c>
      <c r="H202" s="248">
        <v>23235</v>
      </c>
      <c r="I202" s="248">
        <v>42850</v>
      </c>
      <c r="J202" s="248">
        <v>22765</v>
      </c>
      <c r="K202" s="248">
        <v>12727</v>
      </c>
      <c r="L202" s="248">
        <v>27032</v>
      </c>
      <c r="M202" s="248">
        <v>4448</v>
      </c>
      <c r="N202" s="248">
        <v>5431</v>
      </c>
      <c r="O202" s="248">
        <v>37043</v>
      </c>
      <c r="P202" s="248">
        <v>23142</v>
      </c>
      <c r="Q202" s="248">
        <v>28888</v>
      </c>
      <c r="R202" s="248">
        <v>29175</v>
      </c>
      <c r="S202" s="248">
        <v>50311</v>
      </c>
      <c r="T202" s="248">
        <v>23613</v>
      </c>
      <c r="U202" s="248">
        <v>370802</v>
      </c>
      <c r="V202" s="249">
        <v>-282</v>
      </c>
      <c r="W202" s="250">
        <v>370520</v>
      </c>
      <c r="X202" s="248">
        <v>16787</v>
      </c>
      <c r="Y202" s="248">
        <v>66205</v>
      </c>
      <c r="Z202" s="249">
        <v>287810</v>
      </c>
      <c r="AA202" s="261">
        <v>5079</v>
      </c>
      <c r="AB202" s="271">
        <v>377966.35666218563</v>
      </c>
    </row>
    <row r="203" spans="1:28" ht="15.75" customHeight="1">
      <c r="A203" s="112" t="s">
        <v>147</v>
      </c>
      <c r="B203" s="17" t="s">
        <v>153</v>
      </c>
      <c r="C203" s="251">
        <v>5690</v>
      </c>
      <c r="D203" s="252">
        <v>11</v>
      </c>
      <c r="E203" s="252">
        <v>1546</v>
      </c>
      <c r="F203" s="252">
        <v>1222</v>
      </c>
      <c r="G203" s="252">
        <v>71768</v>
      </c>
      <c r="H203" s="252">
        <v>80035</v>
      </c>
      <c r="I203" s="252">
        <v>118450</v>
      </c>
      <c r="J203" s="252">
        <v>182160</v>
      </c>
      <c r="K203" s="252">
        <v>50465</v>
      </c>
      <c r="L203" s="252">
        <v>49888</v>
      </c>
      <c r="M203" s="252">
        <v>78726</v>
      </c>
      <c r="N203" s="252">
        <v>33376</v>
      </c>
      <c r="O203" s="252">
        <v>202362</v>
      </c>
      <c r="P203" s="252">
        <v>127362</v>
      </c>
      <c r="Q203" s="252">
        <v>84895</v>
      </c>
      <c r="R203" s="252">
        <v>97470</v>
      </c>
      <c r="S203" s="252">
        <v>178883</v>
      </c>
      <c r="T203" s="252">
        <v>90542</v>
      </c>
      <c r="U203" s="252">
        <v>1454851</v>
      </c>
      <c r="V203" s="253">
        <v>-1111</v>
      </c>
      <c r="W203" s="254">
        <v>1453740</v>
      </c>
      <c r="X203" s="252">
        <v>7247</v>
      </c>
      <c r="Y203" s="252">
        <v>191440</v>
      </c>
      <c r="Z203" s="253">
        <v>1256164</v>
      </c>
      <c r="AA203" s="262">
        <v>5688</v>
      </c>
      <c r="AB203" s="272">
        <v>1471725.44800113</v>
      </c>
    </row>
    <row r="204" spans="1:28" ht="15.75" customHeight="1">
      <c r="A204" s="112" t="s">
        <v>148</v>
      </c>
      <c r="B204" s="17" t="s">
        <v>154</v>
      </c>
      <c r="C204" s="251">
        <v>14271</v>
      </c>
      <c r="D204" s="252">
        <v>18</v>
      </c>
      <c r="E204" s="252">
        <v>2395</v>
      </c>
      <c r="F204" s="252">
        <v>869</v>
      </c>
      <c r="G204" s="252">
        <v>42952</v>
      </c>
      <c r="H204" s="252">
        <v>15021</v>
      </c>
      <c r="I204" s="252">
        <v>53709</v>
      </c>
      <c r="J204" s="252">
        <v>53192</v>
      </c>
      <c r="K204" s="252">
        <v>24639</v>
      </c>
      <c r="L204" s="252">
        <v>16480</v>
      </c>
      <c r="M204" s="252">
        <v>3711</v>
      </c>
      <c r="N204" s="252">
        <v>7124</v>
      </c>
      <c r="O204" s="252">
        <v>70794</v>
      </c>
      <c r="P204" s="252">
        <v>36634</v>
      </c>
      <c r="Q204" s="252">
        <v>41209</v>
      </c>
      <c r="R204" s="252">
        <v>33898</v>
      </c>
      <c r="S204" s="252">
        <v>90401</v>
      </c>
      <c r="T204" s="252">
        <v>33261</v>
      </c>
      <c r="U204" s="252">
        <v>540578</v>
      </c>
      <c r="V204" s="253">
        <v>-412</v>
      </c>
      <c r="W204" s="254">
        <v>540166</v>
      </c>
      <c r="X204" s="252">
        <v>16684</v>
      </c>
      <c r="Y204" s="252">
        <v>97530</v>
      </c>
      <c r="Z204" s="253">
        <v>426364</v>
      </c>
      <c r="AA204" s="262">
        <v>5005</v>
      </c>
      <c r="AB204" s="272">
        <v>547060.19712721498</v>
      </c>
    </row>
    <row r="205" spans="1:28" ht="15.75" customHeight="1">
      <c r="A205" s="112" t="s">
        <v>149</v>
      </c>
      <c r="B205" s="17" t="s">
        <v>155</v>
      </c>
      <c r="C205" s="251">
        <v>277</v>
      </c>
      <c r="D205" s="252">
        <v>32</v>
      </c>
      <c r="E205" s="252">
        <v>1717</v>
      </c>
      <c r="F205" s="252">
        <v>288</v>
      </c>
      <c r="G205" s="252">
        <v>13517</v>
      </c>
      <c r="H205" s="252">
        <v>28750</v>
      </c>
      <c r="I205" s="252">
        <v>79695</v>
      </c>
      <c r="J205" s="252">
        <v>120743</v>
      </c>
      <c r="K205" s="252">
        <v>134994</v>
      </c>
      <c r="L205" s="252">
        <v>50539</v>
      </c>
      <c r="M205" s="252">
        <v>98532</v>
      </c>
      <c r="N205" s="252">
        <v>91900</v>
      </c>
      <c r="O205" s="252">
        <v>132232</v>
      </c>
      <c r="P205" s="252">
        <v>156682</v>
      </c>
      <c r="Q205" s="252">
        <v>182361</v>
      </c>
      <c r="R205" s="252">
        <v>37687</v>
      </c>
      <c r="S205" s="252">
        <v>97024</v>
      </c>
      <c r="T205" s="252">
        <v>59411</v>
      </c>
      <c r="U205" s="252">
        <v>1286381</v>
      </c>
      <c r="V205" s="253">
        <v>-980</v>
      </c>
      <c r="W205" s="254">
        <v>1285401</v>
      </c>
      <c r="X205" s="252">
        <v>2026</v>
      </c>
      <c r="Y205" s="252">
        <v>93500</v>
      </c>
      <c r="Z205" s="253">
        <v>1190855</v>
      </c>
      <c r="AA205" s="262">
        <v>7301</v>
      </c>
      <c r="AB205" s="272">
        <v>1297097.3114243841</v>
      </c>
    </row>
    <row r="206" spans="1:28" ht="15.75" customHeight="1">
      <c r="A206" s="112" t="s">
        <v>150</v>
      </c>
      <c r="B206" s="17" t="s">
        <v>156</v>
      </c>
      <c r="C206" s="251">
        <v>8950</v>
      </c>
      <c r="D206" s="252">
        <v>44</v>
      </c>
      <c r="E206" s="252">
        <v>586</v>
      </c>
      <c r="F206" s="252">
        <v>185</v>
      </c>
      <c r="G206" s="252">
        <v>9724</v>
      </c>
      <c r="H206" s="252">
        <v>6315</v>
      </c>
      <c r="I206" s="252">
        <v>16333</v>
      </c>
      <c r="J206" s="252">
        <v>18503</v>
      </c>
      <c r="K206" s="252">
        <v>7126</v>
      </c>
      <c r="L206" s="252">
        <v>6961</v>
      </c>
      <c r="M206" s="252">
        <v>2025</v>
      </c>
      <c r="N206" s="252">
        <v>2250</v>
      </c>
      <c r="O206" s="252">
        <v>14805</v>
      </c>
      <c r="P206" s="252">
        <v>10684</v>
      </c>
      <c r="Q206" s="252">
        <v>17540</v>
      </c>
      <c r="R206" s="252">
        <v>10507</v>
      </c>
      <c r="S206" s="252">
        <v>19036</v>
      </c>
      <c r="T206" s="252">
        <v>6228</v>
      </c>
      <c r="U206" s="252">
        <v>157802</v>
      </c>
      <c r="V206" s="253">
        <v>-120</v>
      </c>
      <c r="W206" s="254">
        <v>157682</v>
      </c>
      <c r="X206" s="252">
        <v>9580</v>
      </c>
      <c r="Y206" s="252">
        <v>26242</v>
      </c>
      <c r="Z206" s="253">
        <v>121980</v>
      </c>
      <c r="AA206" s="262">
        <v>5606</v>
      </c>
      <c r="AB206" s="272">
        <v>160546.87584469607</v>
      </c>
    </row>
    <row r="207" spans="1:28" ht="15.75" customHeight="1">
      <c r="A207" s="113" t="s">
        <v>151</v>
      </c>
      <c r="B207" s="105" t="s">
        <v>157</v>
      </c>
      <c r="C207" s="255">
        <v>6825</v>
      </c>
      <c r="D207" s="256">
        <v>34</v>
      </c>
      <c r="E207" s="256">
        <v>766</v>
      </c>
      <c r="F207" s="256">
        <v>235</v>
      </c>
      <c r="G207" s="256">
        <v>6587</v>
      </c>
      <c r="H207" s="256">
        <v>6885</v>
      </c>
      <c r="I207" s="256">
        <v>20915</v>
      </c>
      <c r="J207" s="256">
        <v>12580</v>
      </c>
      <c r="K207" s="256">
        <v>17614</v>
      </c>
      <c r="L207" s="256">
        <v>13742</v>
      </c>
      <c r="M207" s="256">
        <v>1471</v>
      </c>
      <c r="N207" s="256">
        <v>2448</v>
      </c>
      <c r="O207" s="256">
        <v>17342</v>
      </c>
      <c r="P207" s="256">
        <v>15485</v>
      </c>
      <c r="Q207" s="256">
        <v>19398</v>
      </c>
      <c r="R207" s="256">
        <v>11134</v>
      </c>
      <c r="S207" s="256">
        <v>12788</v>
      </c>
      <c r="T207" s="256">
        <v>8858</v>
      </c>
      <c r="U207" s="256">
        <v>175107</v>
      </c>
      <c r="V207" s="257">
        <v>-132</v>
      </c>
      <c r="W207" s="258">
        <v>174975</v>
      </c>
      <c r="X207" s="256">
        <v>7625</v>
      </c>
      <c r="Y207" s="256">
        <v>27737</v>
      </c>
      <c r="Z207" s="257">
        <v>139745</v>
      </c>
      <c r="AA207" s="263">
        <v>5660</v>
      </c>
      <c r="AB207" s="273">
        <v>178581.16521278146</v>
      </c>
    </row>
    <row r="208" spans="1:28" ht="15.75" customHeight="1">
      <c r="A208" s="222" t="s">
        <v>293</v>
      </c>
      <c r="B208" s="25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spans="1:28" ht="15.75" customHeight="1">
      <c r="A209" s="222" t="s">
        <v>292</v>
      </c>
    </row>
    <row r="210" spans="1:28" ht="13.5" customHeight="1">
      <c r="A210" s="55">
        <f>A158+1</f>
        <v>27</v>
      </c>
      <c r="B210" s="50" t="str">
        <f>IF(A210&lt;22,"令和"&amp;A210&amp;"年度","平成"&amp;A210&amp;"年度")</f>
        <v>平成27年度</v>
      </c>
      <c r="C210" s="56" t="str">
        <f>C$2</f>
        <v>経済活動別市町村内総生産（百万円）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1"/>
      <c r="Y210" s="2"/>
      <c r="Z210" s="57"/>
      <c r="AA210" s="57"/>
      <c r="AB210" s="57"/>
    </row>
    <row r="211" spans="1:28" ht="45" customHeight="1">
      <c r="A211" s="186"/>
      <c r="B211" s="76"/>
      <c r="C211" s="77" t="s">
        <v>51</v>
      </c>
      <c r="D211" s="77" t="s">
        <v>52</v>
      </c>
      <c r="E211" s="77" t="s">
        <v>53</v>
      </c>
      <c r="F211" s="77" t="s">
        <v>54</v>
      </c>
      <c r="G211" s="77" t="s">
        <v>55</v>
      </c>
      <c r="H211" s="77" t="s">
        <v>56</v>
      </c>
      <c r="I211" s="77" t="s">
        <v>57</v>
      </c>
      <c r="J211" s="77" t="s">
        <v>58</v>
      </c>
      <c r="K211" s="77" t="s">
        <v>59</v>
      </c>
      <c r="L211" s="77" t="s">
        <v>60</v>
      </c>
      <c r="M211" s="77" t="s">
        <v>61</v>
      </c>
      <c r="N211" s="77" t="s">
        <v>62</v>
      </c>
      <c r="O211" s="77" t="s">
        <v>63</v>
      </c>
      <c r="P211" s="77" t="s">
        <v>64</v>
      </c>
      <c r="Q211" s="77" t="s">
        <v>65</v>
      </c>
      <c r="R211" s="77" t="s">
        <v>66</v>
      </c>
      <c r="S211" s="77" t="s">
        <v>67</v>
      </c>
      <c r="T211" s="77" t="s">
        <v>68</v>
      </c>
      <c r="U211" s="77" t="s">
        <v>70</v>
      </c>
      <c r="V211" s="78" t="s">
        <v>69</v>
      </c>
      <c r="W211" s="79" t="s">
        <v>71</v>
      </c>
      <c r="X211" s="77" t="s">
        <v>72</v>
      </c>
      <c r="Y211" s="77" t="s">
        <v>73</v>
      </c>
      <c r="Z211" s="77" t="s">
        <v>74</v>
      </c>
      <c r="AA211" s="259" t="s">
        <v>277</v>
      </c>
      <c r="AB211" s="269" t="s">
        <v>278</v>
      </c>
    </row>
    <row r="212" spans="1:28" ht="13.5" customHeight="1">
      <c r="A212" s="153" t="s">
        <v>160</v>
      </c>
      <c r="B212" s="22" t="s">
        <v>0</v>
      </c>
      <c r="C212" s="243">
        <v>48437</v>
      </c>
      <c r="D212" s="244">
        <v>350</v>
      </c>
      <c r="E212" s="244">
        <v>10852</v>
      </c>
      <c r="F212" s="244">
        <v>5690</v>
      </c>
      <c r="G212" s="244">
        <v>188132</v>
      </c>
      <c r="H212" s="244">
        <v>166736</v>
      </c>
      <c r="I212" s="244">
        <v>383559</v>
      </c>
      <c r="J212" s="244">
        <v>413862</v>
      </c>
      <c r="K212" s="244">
        <v>262743</v>
      </c>
      <c r="L212" s="244">
        <v>170098</v>
      </c>
      <c r="M212" s="244">
        <v>195210</v>
      </c>
      <c r="N212" s="244">
        <v>147509</v>
      </c>
      <c r="O212" s="244">
        <v>479972</v>
      </c>
      <c r="P212" s="244">
        <v>405237</v>
      </c>
      <c r="Q212" s="244">
        <v>384368</v>
      </c>
      <c r="R212" s="244">
        <v>225682</v>
      </c>
      <c r="S212" s="244">
        <v>480663</v>
      </c>
      <c r="T212" s="244">
        <v>228909</v>
      </c>
      <c r="U212" s="244">
        <v>4198009</v>
      </c>
      <c r="V212" s="245">
        <v>-16635</v>
      </c>
      <c r="W212" s="246">
        <v>4181374</v>
      </c>
      <c r="X212" s="244">
        <v>59639</v>
      </c>
      <c r="Y212" s="244">
        <v>577381</v>
      </c>
      <c r="Z212" s="245">
        <v>3560989</v>
      </c>
      <c r="AA212" s="260">
        <v>6126</v>
      </c>
      <c r="AB212" s="270">
        <v>4188161</v>
      </c>
    </row>
    <row r="213" spans="1:28" ht="13.5" customHeight="1">
      <c r="A213" s="16" t="s">
        <v>1</v>
      </c>
      <c r="B213" s="17" t="s">
        <v>2</v>
      </c>
      <c r="C213" s="247">
        <v>253</v>
      </c>
      <c r="D213" s="248">
        <v>32</v>
      </c>
      <c r="E213" s="248">
        <v>2315</v>
      </c>
      <c r="F213" s="248">
        <v>379</v>
      </c>
      <c r="G213" s="248">
        <v>12523</v>
      </c>
      <c r="H213" s="248">
        <v>28919</v>
      </c>
      <c r="I213" s="248">
        <v>88860</v>
      </c>
      <c r="J213" s="248">
        <v>121597</v>
      </c>
      <c r="K213" s="248">
        <v>139059</v>
      </c>
      <c r="L213" s="248">
        <v>51475</v>
      </c>
      <c r="M213" s="248">
        <v>102547</v>
      </c>
      <c r="N213" s="248">
        <v>91748</v>
      </c>
      <c r="O213" s="248">
        <v>131704</v>
      </c>
      <c r="P213" s="248">
        <v>171687</v>
      </c>
      <c r="Q213" s="248">
        <v>189063</v>
      </c>
      <c r="R213" s="248">
        <v>38193</v>
      </c>
      <c r="S213" s="248">
        <v>105825</v>
      </c>
      <c r="T213" s="248">
        <v>59494</v>
      </c>
      <c r="U213" s="248">
        <v>1335673</v>
      </c>
      <c r="V213" s="249">
        <v>-5296</v>
      </c>
      <c r="W213" s="250">
        <v>1330377</v>
      </c>
      <c r="X213" s="248">
        <v>2600</v>
      </c>
      <c r="Y213" s="248">
        <v>101762</v>
      </c>
      <c r="Z213" s="249">
        <v>1231311</v>
      </c>
      <c r="AA213" s="261">
        <v>7459</v>
      </c>
      <c r="AB213" s="271">
        <v>1332618.3499908466</v>
      </c>
    </row>
    <row r="214" spans="1:28" ht="13.5" customHeight="1">
      <c r="A214" s="18" t="s">
        <v>3</v>
      </c>
      <c r="B214" s="19" t="s">
        <v>4</v>
      </c>
      <c r="C214" s="251">
        <v>96</v>
      </c>
      <c r="D214" s="252">
        <v>0</v>
      </c>
      <c r="E214" s="252">
        <v>213</v>
      </c>
      <c r="F214" s="252">
        <v>513</v>
      </c>
      <c r="G214" s="252">
        <v>5763</v>
      </c>
      <c r="H214" s="252">
        <v>6340</v>
      </c>
      <c r="I214" s="252">
        <v>17336</v>
      </c>
      <c r="J214" s="252">
        <v>24275</v>
      </c>
      <c r="K214" s="252">
        <v>5562</v>
      </c>
      <c r="L214" s="252">
        <v>7905</v>
      </c>
      <c r="M214" s="252">
        <v>13677</v>
      </c>
      <c r="N214" s="252">
        <v>4645</v>
      </c>
      <c r="O214" s="252">
        <v>32713</v>
      </c>
      <c r="P214" s="252">
        <v>18916</v>
      </c>
      <c r="Q214" s="252">
        <v>8335</v>
      </c>
      <c r="R214" s="252">
        <v>13406</v>
      </c>
      <c r="S214" s="252">
        <v>20106</v>
      </c>
      <c r="T214" s="252">
        <v>13852</v>
      </c>
      <c r="U214" s="252">
        <v>193653</v>
      </c>
      <c r="V214" s="253">
        <v>-767</v>
      </c>
      <c r="W214" s="254">
        <v>192886</v>
      </c>
      <c r="X214" s="252">
        <v>309</v>
      </c>
      <c r="Y214" s="252">
        <v>23612</v>
      </c>
      <c r="Z214" s="253">
        <v>169732</v>
      </c>
      <c r="AA214" s="262">
        <v>5485</v>
      </c>
      <c r="AB214" s="272">
        <v>193151.16828320664</v>
      </c>
    </row>
    <row r="215" spans="1:28" ht="13.5" customHeight="1">
      <c r="A215" s="18" t="s">
        <v>5</v>
      </c>
      <c r="B215" s="19" t="s">
        <v>6</v>
      </c>
      <c r="C215" s="251">
        <v>5046</v>
      </c>
      <c r="D215" s="252">
        <v>26</v>
      </c>
      <c r="E215" s="252">
        <v>706</v>
      </c>
      <c r="F215" s="252">
        <v>223</v>
      </c>
      <c r="G215" s="252">
        <v>5462</v>
      </c>
      <c r="H215" s="252">
        <v>6945</v>
      </c>
      <c r="I215" s="252">
        <v>16550</v>
      </c>
      <c r="J215" s="252">
        <v>12223</v>
      </c>
      <c r="K215" s="252">
        <v>14454</v>
      </c>
      <c r="L215" s="252">
        <v>11223</v>
      </c>
      <c r="M215" s="252">
        <v>1878</v>
      </c>
      <c r="N215" s="252">
        <v>2687</v>
      </c>
      <c r="O215" s="252">
        <v>16003</v>
      </c>
      <c r="P215" s="252">
        <v>15611</v>
      </c>
      <c r="Q215" s="252">
        <v>18636</v>
      </c>
      <c r="R215" s="252">
        <v>8839</v>
      </c>
      <c r="S215" s="252">
        <v>12888</v>
      </c>
      <c r="T215" s="252">
        <v>7109</v>
      </c>
      <c r="U215" s="252">
        <v>156509</v>
      </c>
      <c r="V215" s="253">
        <v>-620</v>
      </c>
      <c r="W215" s="254">
        <v>155889</v>
      </c>
      <c r="X215" s="252">
        <v>5778</v>
      </c>
      <c r="Y215" s="252">
        <v>22235</v>
      </c>
      <c r="Z215" s="253">
        <v>128496</v>
      </c>
      <c r="AA215" s="262">
        <v>5743</v>
      </c>
      <c r="AB215" s="272">
        <v>156126.35518694366</v>
      </c>
    </row>
    <row r="216" spans="1:28" ht="13.5" customHeight="1">
      <c r="A216" s="18" t="s">
        <v>7</v>
      </c>
      <c r="B216" s="19" t="s">
        <v>8</v>
      </c>
      <c r="C216" s="251">
        <v>31</v>
      </c>
      <c r="D216" s="252">
        <v>2</v>
      </c>
      <c r="E216" s="252">
        <v>165</v>
      </c>
      <c r="F216" s="252">
        <v>134</v>
      </c>
      <c r="G216" s="252">
        <v>19682</v>
      </c>
      <c r="H216" s="252">
        <v>14521</v>
      </c>
      <c r="I216" s="252">
        <v>29575</v>
      </c>
      <c r="J216" s="252">
        <v>78904</v>
      </c>
      <c r="K216" s="252">
        <v>21148</v>
      </c>
      <c r="L216" s="252">
        <v>7409</v>
      </c>
      <c r="M216" s="252">
        <v>40977</v>
      </c>
      <c r="N216" s="252">
        <v>10273</v>
      </c>
      <c r="O216" s="252">
        <v>36529</v>
      </c>
      <c r="P216" s="252">
        <v>47251</v>
      </c>
      <c r="Q216" s="252">
        <v>13444</v>
      </c>
      <c r="R216" s="252">
        <v>17234</v>
      </c>
      <c r="S216" s="252">
        <v>38849</v>
      </c>
      <c r="T216" s="252">
        <v>17348</v>
      </c>
      <c r="U216" s="252">
        <v>393476</v>
      </c>
      <c r="V216" s="253">
        <v>-1559</v>
      </c>
      <c r="W216" s="254">
        <v>391917</v>
      </c>
      <c r="X216" s="252">
        <v>198</v>
      </c>
      <c r="Y216" s="252">
        <v>49391</v>
      </c>
      <c r="Z216" s="253">
        <v>343887</v>
      </c>
      <c r="AA216" s="262">
        <v>6960</v>
      </c>
      <c r="AB216" s="272">
        <v>392728.79422296752</v>
      </c>
    </row>
    <row r="217" spans="1:28" ht="13.5" customHeight="1">
      <c r="A217" s="16" t="s">
        <v>9</v>
      </c>
      <c r="B217" s="17" t="s">
        <v>10</v>
      </c>
      <c r="C217" s="251">
        <v>2883</v>
      </c>
      <c r="D217" s="252">
        <v>82</v>
      </c>
      <c r="E217" s="252">
        <v>387</v>
      </c>
      <c r="F217" s="252">
        <v>1096</v>
      </c>
      <c r="G217" s="252">
        <v>16198</v>
      </c>
      <c r="H217" s="252">
        <v>8136</v>
      </c>
      <c r="I217" s="252">
        <v>19225</v>
      </c>
      <c r="J217" s="252">
        <v>15969</v>
      </c>
      <c r="K217" s="252">
        <v>5079</v>
      </c>
      <c r="L217" s="252">
        <v>10241</v>
      </c>
      <c r="M217" s="252">
        <v>2467</v>
      </c>
      <c r="N217" s="252">
        <v>4567</v>
      </c>
      <c r="O217" s="252">
        <v>18521</v>
      </c>
      <c r="P217" s="252">
        <v>13675</v>
      </c>
      <c r="Q217" s="252">
        <v>13354</v>
      </c>
      <c r="R217" s="252">
        <v>14348</v>
      </c>
      <c r="S217" s="252">
        <v>32292</v>
      </c>
      <c r="T217" s="252">
        <v>9062</v>
      </c>
      <c r="U217" s="252">
        <v>187582</v>
      </c>
      <c r="V217" s="253">
        <v>-744</v>
      </c>
      <c r="W217" s="254">
        <v>186838</v>
      </c>
      <c r="X217" s="252">
        <v>3352</v>
      </c>
      <c r="Y217" s="252">
        <v>36519</v>
      </c>
      <c r="Z217" s="253">
        <v>147711</v>
      </c>
      <c r="AA217" s="262">
        <v>5737</v>
      </c>
      <c r="AB217" s="272">
        <v>186959.07504064147</v>
      </c>
    </row>
    <row r="218" spans="1:28" ht="13.5" customHeight="1">
      <c r="A218" s="18" t="s">
        <v>11</v>
      </c>
      <c r="B218" s="19" t="s">
        <v>12</v>
      </c>
      <c r="C218" s="251">
        <v>3498</v>
      </c>
      <c r="D218" s="252">
        <v>2</v>
      </c>
      <c r="E218" s="252">
        <v>655</v>
      </c>
      <c r="F218" s="252">
        <v>692</v>
      </c>
      <c r="G218" s="252">
        <v>18789</v>
      </c>
      <c r="H218" s="252">
        <v>3335</v>
      </c>
      <c r="I218" s="252">
        <v>16621</v>
      </c>
      <c r="J218" s="252">
        <v>11327</v>
      </c>
      <c r="K218" s="252">
        <v>5564</v>
      </c>
      <c r="L218" s="252">
        <v>4826</v>
      </c>
      <c r="M218" s="252">
        <v>666</v>
      </c>
      <c r="N218" s="252">
        <v>1772</v>
      </c>
      <c r="O218" s="252">
        <v>16078</v>
      </c>
      <c r="P218" s="252">
        <v>4648</v>
      </c>
      <c r="Q218" s="252">
        <v>7803</v>
      </c>
      <c r="R218" s="252">
        <v>8155</v>
      </c>
      <c r="S218" s="252">
        <v>20387</v>
      </c>
      <c r="T218" s="252">
        <v>8497</v>
      </c>
      <c r="U218" s="252">
        <v>133315</v>
      </c>
      <c r="V218" s="253">
        <v>-528</v>
      </c>
      <c r="W218" s="254">
        <v>132787</v>
      </c>
      <c r="X218" s="252">
        <v>4155</v>
      </c>
      <c r="Y218" s="252">
        <v>36102</v>
      </c>
      <c r="Z218" s="253">
        <v>93058</v>
      </c>
      <c r="AA218" s="262">
        <v>4799</v>
      </c>
      <c r="AB218" s="272">
        <v>132636.92952148838</v>
      </c>
    </row>
    <row r="219" spans="1:28" ht="13.5" customHeight="1">
      <c r="A219" s="18" t="s">
        <v>13</v>
      </c>
      <c r="B219" s="19" t="s">
        <v>14</v>
      </c>
      <c r="C219" s="251">
        <v>1238</v>
      </c>
      <c r="D219" s="252">
        <v>2</v>
      </c>
      <c r="E219" s="252">
        <v>246</v>
      </c>
      <c r="F219" s="252">
        <v>112</v>
      </c>
      <c r="G219" s="252">
        <v>11729</v>
      </c>
      <c r="H219" s="252">
        <v>8285</v>
      </c>
      <c r="I219" s="252">
        <v>25564</v>
      </c>
      <c r="J219" s="252">
        <v>24151</v>
      </c>
      <c r="K219" s="252">
        <v>9409</v>
      </c>
      <c r="L219" s="252">
        <v>12898</v>
      </c>
      <c r="M219" s="252">
        <v>3721</v>
      </c>
      <c r="N219" s="252">
        <v>10162</v>
      </c>
      <c r="O219" s="252">
        <v>44684</v>
      </c>
      <c r="P219" s="252">
        <v>30904</v>
      </c>
      <c r="Q219" s="252">
        <v>25995</v>
      </c>
      <c r="R219" s="252">
        <v>19666</v>
      </c>
      <c r="S219" s="252">
        <v>54944</v>
      </c>
      <c r="T219" s="252">
        <v>20630</v>
      </c>
      <c r="U219" s="252">
        <v>304340</v>
      </c>
      <c r="V219" s="253">
        <v>-1206</v>
      </c>
      <c r="W219" s="254">
        <v>303134</v>
      </c>
      <c r="X219" s="252">
        <v>1486</v>
      </c>
      <c r="Y219" s="252">
        <v>37405</v>
      </c>
      <c r="Z219" s="253">
        <v>265449</v>
      </c>
      <c r="AA219" s="262">
        <v>5745</v>
      </c>
      <c r="AB219" s="272">
        <v>303289.57458170142</v>
      </c>
    </row>
    <row r="220" spans="1:28" ht="13.5" customHeight="1">
      <c r="A220" s="18" t="s">
        <v>15</v>
      </c>
      <c r="B220" s="19" t="s">
        <v>45</v>
      </c>
      <c r="C220" s="251">
        <v>1337</v>
      </c>
      <c r="D220" s="252">
        <v>3</v>
      </c>
      <c r="E220" s="252">
        <v>372</v>
      </c>
      <c r="F220" s="252">
        <v>134</v>
      </c>
      <c r="G220" s="252">
        <v>6534</v>
      </c>
      <c r="H220" s="252">
        <v>3469</v>
      </c>
      <c r="I220" s="252">
        <v>13784</v>
      </c>
      <c r="J220" s="252">
        <v>15969</v>
      </c>
      <c r="K220" s="252">
        <v>12722</v>
      </c>
      <c r="L220" s="252">
        <v>3421</v>
      </c>
      <c r="M220" s="252">
        <v>2755</v>
      </c>
      <c r="N220" s="252">
        <v>1811</v>
      </c>
      <c r="O220" s="252">
        <v>18815</v>
      </c>
      <c r="P220" s="252">
        <v>23156</v>
      </c>
      <c r="Q220" s="252">
        <v>5938</v>
      </c>
      <c r="R220" s="252">
        <v>6903</v>
      </c>
      <c r="S220" s="252">
        <v>24677</v>
      </c>
      <c r="T220" s="252">
        <v>6884</v>
      </c>
      <c r="U220" s="252">
        <v>148684</v>
      </c>
      <c r="V220" s="253">
        <v>-589</v>
      </c>
      <c r="W220" s="254">
        <v>148095</v>
      </c>
      <c r="X220" s="252">
        <v>1712</v>
      </c>
      <c r="Y220" s="252">
        <v>20452</v>
      </c>
      <c r="Z220" s="253">
        <v>126520</v>
      </c>
      <c r="AA220" s="262">
        <v>6187</v>
      </c>
      <c r="AB220" s="272">
        <v>148232.53917991937</v>
      </c>
    </row>
    <row r="221" spans="1:28" ht="13.5" customHeight="1">
      <c r="A221" s="18" t="s">
        <v>16</v>
      </c>
      <c r="B221" s="19" t="s">
        <v>46</v>
      </c>
      <c r="C221" s="251">
        <v>2449</v>
      </c>
      <c r="D221" s="252">
        <v>0</v>
      </c>
      <c r="E221" s="252">
        <v>730</v>
      </c>
      <c r="F221" s="252">
        <v>268</v>
      </c>
      <c r="G221" s="252">
        <v>19461</v>
      </c>
      <c r="H221" s="252">
        <v>26277</v>
      </c>
      <c r="I221" s="252">
        <v>30963</v>
      </c>
      <c r="J221" s="252">
        <v>22989</v>
      </c>
      <c r="K221" s="252">
        <v>9883</v>
      </c>
      <c r="L221" s="252">
        <v>6990</v>
      </c>
      <c r="M221" s="252">
        <v>16661</v>
      </c>
      <c r="N221" s="252">
        <v>4872</v>
      </c>
      <c r="O221" s="252">
        <v>37552</v>
      </c>
      <c r="P221" s="252">
        <v>27195</v>
      </c>
      <c r="Q221" s="252">
        <v>18347</v>
      </c>
      <c r="R221" s="252">
        <v>14563</v>
      </c>
      <c r="S221" s="252">
        <v>31379</v>
      </c>
      <c r="T221" s="252">
        <v>16661</v>
      </c>
      <c r="U221" s="252">
        <v>287240</v>
      </c>
      <c r="V221" s="253">
        <v>-1138</v>
      </c>
      <c r="W221" s="254">
        <v>286102</v>
      </c>
      <c r="X221" s="252">
        <v>3179</v>
      </c>
      <c r="Y221" s="252">
        <v>50692</v>
      </c>
      <c r="Z221" s="253">
        <v>233369</v>
      </c>
      <c r="AA221" s="262">
        <v>6431</v>
      </c>
      <c r="AB221" s="272">
        <v>287307.28034378152</v>
      </c>
    </row>
    <row r="222" spans="1:28" ht="13.5" customHeight="1">
      <c r="A222" s="18">
        <v>10</v>
      </c>
      <c r="B222" s="19" t="s">
        <v>47</v>
      </c>
      <c r="C222" s="251">
        <v>7463</v>
      </c>
      <c r="D222" s="252">
        <v>43</v>
      </c>
      <c r="E222" s="252">
        <v>726</v>
      </c>
      <c r="F222" s="252">
        <v>245</v>
      </c>
      <c r="G222" s="252">
        <v>8697</v>
      </c>
      <c r="H222" s="252">
        <v>6552</v>
      </c>
      <c r="I222" s="252">
        <v>14635</v>
      </c>
      <c r="J222" s="252">
        <v>18618</v>
      </c>
      <c r="K222" s="252">
        <v>7471</v>
      </c>
      <c r="L222" s="252">
        <v>7130</v>
      </c>
      <c r="M222" s="252">
        <v>2035</v>
      </c>
      <c r="N222" s="252">
        <v>2350</v>
      </c>
      <c r="O222" s="252">
        <v>14572</v>
      </c>
      <c r="P222" s="252">
        <v>11641</v>
      </c>
      <c r="Q222" s="252">
        <v>16922</v>
      </c>
      <c r="R222" s="252">
        <v>10230</v>
      </c>
      <c r="S222" s="252">
        <v>20028</v>
      </c>
      <c r="T222" s="252">
        <v>6499</v>
      </c>
      <c r="U222" s="252">
        <v>155857</v>
      </c>
      <c r="V222" s="253">
        <v>-618</v>
      </c>
      <c r="W222" s="254">
        <v>155239</v>
      </c>
      <c r="X222" s="252">
        <v>8232</v>
      </c>
      <c r="Y222" s="252">
        <v>23577</v>
      </c>
      <c r="Z222" s="253">
        <v>124048</v>
      </c>
      <c r="AA222" s="262">
        <v>5640</v>
      </c>
      <c r="AB222" s="272">
        <v>155341.14257295174</v>
      </c>
    </row>
    <row r="223" spans="1:28" ht="13.5" customHeight="1">
      <c r="A223" s="20">
        <v>11</v>
      </c>
      <c r="B223" s="21" t="s">
        <v>48</v>
      </c>
      <c r="C223" s="255">
        <v>2782</v>
      </c>
      <c r="D223" s="256">
        <v>2</v>
      </c>
      <c r="E223" s="256">
        <v>602</v>
      </c>
      <c r="F223" s="256">
        <v>67</v>
      </c>
      <c r="G223" s="256">
        <v>8550</v>
      </c>
      <c r="H223" s="256">
        <v>2583</v>
      </c>
      <c r="I223" s="256">
        <v>8333</v>
      </c>
      <c r="J223" s="256">
        <v>4239</v>
      </c>
      <c r="K223" s="256">
        <v>3979</v>
      </c>
      <c r="L223" s="256">
        <v>1584</v>
      </c>
      <c r="M223" s="256">
        <v>612</v>
      </c>
      <c r="N223" s="256">
        <v>551</v>
      </c>
      <c r="O223" s="256">
        <v>11105</v>
      </c>
      <c r="P223" s="256">
        <v>1984</v>
      </c>
      <c r="Q223" s="256">
        <v>8998</v>
      </c>
      <c r="R223" s="256">
        <v>3223</v>
      </c>
      <c r="S223" s="256">
        <v>8651</v>
      </c>
      <c r="T223" s="256">
        <v>4693</v>
      </c>
      <c r="U223" s="256">
        <v>72538</v>
      </c>
      <c r="V223" s="257">
        <v>-287</v>
      </c>
      <c r="W223" s="258">
        <v>72251</v>
      </c>
      <c r="X223" s="256">
        <v>3386</v>
      </c>
      <c r="Y223" s="256">
        <v>16950</v>
      </c>
      <c r="Z223" s="257">
        <v>52202</v>
      </c>
      <c r="AA223" s="263">
        <v>4636</v>
      </c>
      <c r="AB223" s="273">
        <v>72231.638480363676</v>
      </c>
    </row>
    <row r="224" spans="1:28" ht="13.5" customHeight="1">
      <c r="A224" s="18">
        <v>12</v>
      </c>
      <c r="B224" s="19" t="s">
        <v>17</v>
      </c>
      <c r="C224" s="247">
        <v>1649</v>
      </c>
      <c r="D224" s="248">
        <v>91</v>
      </c>
      <c r="E224" s="248">
        <v>61</v>
      </c>
      <c r="F224" s="248">
        <v>245</v>
      </c>
      <c r="G224" s="248">
        <v>385</v>
      </c>
      <c r="H224" s="248">
        <v>399</v>
      </c>
      <c r="I224" s="248">
        <v>2312</v>
      </c>
      <c r="J224" s="248">
        <v>466</v>
      </c>
      <c r="K224" s="248">
        <v>338</v>
      </c>
      <c r="L224" s="248">
        <v>1449</v>
      </c>
      <c r="M224" s="248">
        <v>0</v>
      </c>
      <c r="N224" s="248">
        <v>143</v>
      </c>
      <c r="O224" s="248">
        <v>1099</v>
      </c>
      <c r="P224" s="248">
        <v>217</v>
      </c>
      <c r="Q224" s="248">
        <v>1382</v>
      </c>
      <c r="R224" s="248">
        <v>959</v>
      </c>
      <c r="S224" s="248">
        <v>874</v>
      </c>
      <c r="T224" s="248">
        <v>565</v>
      </c>
      <c r="U224" s="248">
        <v>12634</v>
      </c>
      <c r="V224" s="249">
        <v>-50</v>
      </c>
      <c r="W224" s="250">
        <v>12584</v>
      </c>
      <c r="X224" s="248">
        <v>1801</v>
      </c>
      <c r="Y224" s="248">
        <v>2942</v>
      </c>
      <c r="Z224" s="249">
        <v>7891</v>
      </c>
      <c r="AA224" s="261">
        <v>4277</v>
      </c>
      <c r="AB224" s="271">
        <v>12568.387391269571</v>
      </c>
    </row>
    <row r="225" spans="1:28" ht="13.5" customHeight="1">
      <c r="A225" s="18">
        <v>13</v>
      </c>
      <c r="B225" s="19" t="s">
        <v>18</v>
      </c>
      <c r="C225" s="251">
        <v>1276</v>
      </c>
      <c r="D225" s="252">
        <v>7</v>
      </c>
      <c r="E225" s="252">
        <v>183</v>
      </c>
      <c r="F225" s="252">
        <v>0</v>
      </c>
      <c r="G225" s="252">
        <v>154</v>
      </c>
      <c r="H225" s="252">
        <v>222</v>
      </c>
      <c r="I225" s="252">
        <v>1616</v>
      </c>
      <c r="J225" s="252">
        <v>184</v>
      </c>
      <c r="K225" s="252">
        <v>436</v>
      </c>
      <c r="L225" s="252">
        <v>72</v>
      </c>
      <c r="M225" s="252">
        <v>0</v>
      </c>
      <c r="N225" s="252">
        <v>3</v>
      </c>
      <c r="O225" s="252">
        <v>733</v>
      </c>
      <c r="P225" s="252">
        <v>214</v>
      </c>
      <c r="Q225" s="252">
        <v>810</v>
      </c>
      <c r="R225" s="252">
        <v>898</v>
      </c>
      <c r="S225" s="252">
        <v>903</v>
      </c>
      <c r="T225" s="252">
        <v>286</v>
      </c>
      <c r="U225" s="252">
        <v>7997</v>
      </c>
      <c r="V225" s="253">
        <v>-32</v>
      </c>
      <c r="W225" s="254">
        <v>7965</v>
      </c>
      <c r="X225" s="252">
        <v>1466</v>
      </c>
      <c r="Y225" s="252">
        <v>1770</v>
      </c>
      <c r="Z225" s="253">
        <v>4761</v>
      </c>
      <c r="AA225" s="262">
        <v>4559</v>
      </c>
      <c r="AB225" s="272">
        <v>7953.0071825230998</v>
      </c>
    </row>
    <row r="226" spans="1:28" ht="13.5" customHeight="1">
      <c r="A226" s="18">
        <v>14</v>
      </c>
      <c r="B226" s="19" t="s">
        <v>19</v>
      </c>
      <c r="C226" s="251">
        <v>870</v>
      </c>
      <c r="D226" s="252">
        <v>5</v>
      </c>
      <c r="E226" s="252">
        <v>32</v>
      </c>
      <c r="F226" s="252">
        <v>0</v>
      </c>
      <c r="G226" s="252">
        <v>341</v>
      </c>
      <c r="H226" s="252">
        <v>49</v>
      </c>
      <c r="I226" s="252">
        <v>1526</v>
      </c>
      <c r="J226" s="252">
        <v>103</v>
      </c>
      <c r="K226" s="252">
        <v>103</v>
      </c>
      <c r="L226" s="252">
        <v>199</v>
      </c>
      <c r="M226" s="252">
        <v>0</v>
      </c>
      <c r="N226" s="252">
        <v>6</v>
      </c>
      <c r="O226" s="252">
        <v>354</v>
      </c>
      <c r="P226" s="252">
        <v>1246</v>
      </c>
      <c r="Q226" s="252">
        <v>688</v>
      </c>
      <c r="R226" s="252">
        <v>690</v>
      </c>
      <c r="S226" s="252">
        <v>275</v>
      </c>
      <c r="T226" s="252">
        <v>266</v>
      </c>
      <c r="U226" s="252">
        <v>6753</v>
      </c>
      <c r="V226" s="253">
        <v>-26</v>
      </c>
      <c r="W226" s="254">
        <v>6727</v>
      </c>
      <c r="X226" s="252">
        <v>907</v>
      </c>
      <c r="Y226" s="252">
        <v>1867</v>
      </c>
      <c r="Z226" s="253">
        <v>3979</v>
      </c>
      <c r="AA226" s="262">
        <v>5326</v>
      </c>
      <c r="AB226" s="272">
        <v>6712.353320397744</v>
      </c>
    </row>
    <row r="227" spans="1:28" ht="13.5" customHeight="1">
      <c r="A227" s="18">
        <v>15</v>
      </c>
      <c r="B227" s="19" t="s">
        <v>20</v>
      </c>
      <c r="C227" s="251">
        <v>1720</v>
      </c>
      <c r="D227" s="252">
        <v>10</v>
      </c>
      <c r="E227" s="252">
        <v>124</v>
      </c>
      <c r="F227" s="252">
        <v>0</v>
      </c>
      <c r="G227" s="252">
        <v>378</v>
      </c>
      <c r="H227" s="252">
        <v>538</v>
      </c>
      <c r="I227" s="252">
        <v>2079</v>
      </c>
      <c r="J227" s="252">
        <v>597</v>
      </c>
      <c r="K227" s="252">
        <v>439</v>
      </c>
      <c r="L227" s="252">
        <v>1062</v>
      </c>
      <c r="M227" s="252">
        <v>14</v>
      </c>
      <c r="N227" s="252">
        <v>89</v>
      </c>
      <c r="O227" s="252">
        <v>1976</v>
      </c>
      <c r="P227" s="252">
        <v>807</v>
      </c>
      <c r="Q227" s="252">
        <v>1229</v>
      </c>
      <c r="R227" s="252">
        <v>1147</v>
      </c>
      <c r="S227" s="252">
        <v>2095</v>
      </c>
      <c r="T227" s="252">
        <v>1468</v>
      </c>
      <c r="U227" s="252">
        <v>15772</v>
      </c>
      <c r="V227" s="253">
        <v>-62</v>
      </c>
      <c r="W227" s="254">
        <v>15710</v>
      </c>
      <c r="X227" s="252">
        <v>1854</v>
      </c>
      <c r="Y227" s="252">
        <v>2457</v>
      </c>
      <c r="Z227" s="253">
        <v>11461</v>
      </c>
      <c r="AA227" s="262">
        <v>3456</v>
      </c>
      <c r="AB227" s="272">
        <v>15692.597384852428</v>
      </c>
    </row>
    <row r="228" spans="1:28" ht="13.5" customHeight="1">
      <c r="A228" s="18">
        <v>16</v>
      </c>
      <c r="B228" s="19" t="s">
        <v>21</v>
      </c>
      <c r="C228" s="251">
        <v>1170</v>
      </c>
      <c r="D228" s="252">
        <v>2</v>
      </c>
      <c r="E228" s="252">
        <v>478</v>
      </c>
      <c r="F228" s="252">
        <v>848</v>
      </c>
      <c r="G228" s="252">
        <v>1180</v>
      </c>
      <c r="H228" s="252">
        <v>1168</v>
      </c>
      <c r="I228" s="252">
        <v>3952</v>
      </c>
      <c r="J228" s="252">
        <v>1719</v>
      </c>
      <c r="K228" s="252">
        <v>1336</v>
      </c>
      <c r="L228" s="252">
        <v>3073</v>
      </c>
      <c r="M228" s="252">
        <v>0</v>
      </c>
      <c r="N228" s="252">
        <v>504</v>
      </c>
      <c r="O228" s="252">
        <v>3595</v>
      </c>
      <c r="P228" s="252">
        <v>2031</v>
      </c>
      <c r="Q228" s="252">
        <v>2032</v>
      </c>
      <c r="R228" s="252">
        <v>1928</v>
      </c>
      <c r="S228" s="252">
        <v>4669</v>
      </c>
      <c r="T228" s="252">
        <v>5970</v>
      </c>
      <c r="U228" s="252">
        <v>35655</v>
      </c>
      <c r="V228" s="253">
        <v>-141</v>
      </c>
      <c r="W228" s="254">
        <v>35514</v>
      </c>
      <c r="X228" s="252">
        <v>1650</v>
      </c>
      <c r="Y228" s="252">
        <v>5980</v>
      </c>
      <c r="Z228" s="253">
        <v>28025</v>
      </c>
      <c r="AA228" s="262">
        <v>4354</v>
      </c>
      <c r="AB228" s="272">
        <v>35531.450671099825</v>
      </c>
    </row>
    <row r="229" spans="1:28" ht="13.5" customHeight="1">
      <c r="A229" s="18">
        <v>17</v>
      </c>
      <c r="B229" s="19" t="s">
        <v>22</v>
      </c>
      <c r="C229" s="251">
        <v>766</v>
      </c>
      <c r="D229" s="252">
        <v>10</v>
      </c>
      <c r="E229" s="252">
        <v>280</v>
      </c>
      <c r="F229" s="252">
        <v>67</v>
      </c>
      <c r="G229" s="252">
        <v>422</v>
      </c>
      <c r="H229" s="252">
        <v>632</v>
      </c>
      <c r="I229" s="252">
        <v>7752</v>
      </c>
      <c r="J229" s="252">
        <v>1525</v>
      </c>
      <c r="K229" s="252">
        <v>1160</v>
      </c>
      <c r="L229" s="252">
        <v>10692</v>
      </c>
      <c r="M229" s="252">
        <v>158</v>
      </c>
      <c r="N229" s="252">
        <v>131</v>
      </c>
      <c r="O229" s="252">
        <v>4475</v>
      </c>
      <c r="P229" s="252">
        <v>2960</v>
      </c>
      <c r="Q229" s="252">
        <v>3515</v>
      </c>
      <c r="R229" s="252">
        <v>6553</v>
      </c>
      <c r="S229" s="252">
        <v>1716</v>
      </c>
      <c r="T229" s="252">
        <v>4018</v>
      </c>
      <c r="U229" s="252">
        <v>46832</v>
      </c>
      <c r="V229" s="253">
        <v>-186</v>
      </c>
      <c r="W229" s="254">
        <v>46646</v>
      </c>
      <c r="X229" s="252">
        <v>1056</v>
      </c>
      <c r="Y229" s="252">
        <v>8241</v>
      </c>
      <c r="Z229" s="253">
        <v>37535</v>
      </c>
      <c r="AA229" s="262">
        <v>4604</v>
      </c>
      <c r="AB229" s="272">
        <v>46576.343591153374</v>
      </c>
    </row>
    <row r="230" spans="1:28" ht="13.5" customHeight="1">
      <c r="A230" s="18">
        <v>18</v>
      </c>
      <c r="B230" s="19" t="s">
        <v>23</v>
      </c>
      <c r="C230" s="251">
        <v>666</v>
      </c>
      <c r="D230" s="252">
        <v>2</v>
      </c>
      <c r="E230" s="252">
        <v>158</v>
      </c>
      <c r="F230" s="252">
        <v>22</v>
      </c>
      <c r="G230" s="252">
        <v>180</v>
      </c>
      <c r="H230" s="252">
        <v>483</v>
      </c>
      <c r="I230" s="252">
        <v>1921</v>
      </c>
      <c r="J230" s="252">
        <v>456</v>
      </c>
      <c r="K230" s="252">
        <v>1669</v>
      </c>
      <c r="L230" s="252">
        <v>286</v>
      </c>
      <c r="M230" s="252">
        <v>1354</v>
      </c>
      <c r="N230" s="252">
        <v>41</v>
      </c>
      <c r="O230" s="252">
        <v>1464</v>
      </c>
      <c r="P230" s="252">
        <v>1491</v>
      </c>
      <c r="Q230" s="252">
        <v>1435</v>
      </c>
      <c r="R230" s="252">
        <v>1120</v>
      </c>
      <c r="S230" s="252">
        <v>2049</v>
      </c>
      <c r="T230" s="252">
        <v>928</v>
      </c>
      <c r="U230" s="252">
        <v>15725</v>
      </c>
      <c r="V230" s="253">
        <v>-63</v>
      </c>
      <c r="W230" s="254">
        <v>15662</v>
      </c>
      <c r="X230" s="252">
        <v>826</v>
      </c>
      <c r="Y230" s="252">
        <v>2123</v>
      </c>
      <c r="Z230" s="253">
        <v>12776</v>
      </c>
      <c r="AA230" s="262">
        <v>5608</v>
      </c>
      <c r="AB230" s="272">
        <v>15685.684754259402</v>
      </c>
    </row>
    <row r="231" spans="1:28" ht="13.5" customHeight="1">
      <c r="A231" s="18">
        <v>19</v>
      </c>
      <c r="B231" s="19" t="s">
        <v>24</v>
      </c>
      <c r="C231" s="251">
        <v>743</v>
      </c>
      <c r="D231" s="252">
        <v>0</v>
      </c>
      <c r="E231" s="252">
        <v>67</v>
      </c>
      <c r="F231" s="252">
        <v>22</v>
      </c>
      <c r="G231" s="252">
        <v>607</v>
      </c>
      <c r="H231" s="252">
        <v>11566</v>
      </c>
      <c r="I231" s="252">
        <v>4209</v>
      </c>
      <c r="J231" s="252">
        <v>1085</v>
      </c>
      <c r="K231" s="252">
        <v>2276</v>
      </c>
      <c r="L231" s="252">
        <v>981</v>
      </c>
      <c r="M231" s="252">
        <v>283</v>
      </c>
      <c r="N231" s="252">
        <v>287</v>
      </c>
      <c r="O231" s="252">
        <v>3570</v>
      </c>
      <c r="P231" s="252">
        <v>484</v>
      </c>
      <c r="Q231" s="252">
        <v>1977</v>
      </c>
      <c r="R231" s="252">
        <v>1409</v>
      </c>
      <c r="S231" s="252">
        <v>5302</v>
      </c>
      <c r="T231" s="252">
        <v>1282</v>
      </c>
      <c r="U231" s="252">
        <v>36150</v>
      </c>
      <c r="V231" s="253">
        <v>-143</v>
      </c>
      <c r="W231" s="254">
        <v>36007</v>
      </c>
      <c r="X231" s="252">
        <v>810</v>
      </c>
      <c r="Y231" s="252">
        <v>4838</v>
      </c>
      <c r="Z231" s="253">
        <v>30502</v>
      </c>
      <c r="AA231" s="262">
        <v>6399</v>
      </c>
      <c r="AB231" s="272">
        <v>36621.969968019774</v>
      </c>
    </row>
    <row r="232" spans="1:28" ht="13.5" customHeight="1">
      <c r="A232" s="20">
        <v>20</v>
      </c>
      <c r="B232" s="21" t="s">
        <v>25</v>
      </c>
      <c r="C232" s="255">
        <v>1939</v>
      </c>
      <c r="D232" s="256">
        <v>2</v>
      </c>
      <c r="E232" s="256">
        <v>189</v>
      </c>
      <c r="F232" s="256">
        <v>0</v>
      </c>
      <c r="G232" s="256">
        <v>503</v>
      </c>
      <c r="H232" s="256">
        <v>309</v>
      </c>
      <c r="I232" s="256">
        <v>3452</v>
      </c>
      <c r="J232" s="256">
        <v>669</v>
      </c>
      <c r="K232" s="256">
        <v>523</v>
      </c>
      <c r="L232" s="256">
        <v>569</v>
      </c>
      <c r="M232" s="256">
        <v>41</v>
      </c>
      <c r="N232" s="256">
        <v>18</v>
      </c>
      <c r="O232" s="256">
        <v>1142</v>
      </c>
      <c r="P232" s="256">
        <v>297</v>
      </c>
      <c r="Q232" s="256">
        <v>1184</v>
      </c>
      <c r="R232" s="256">
        <v>579</v>
      </c>
      <c r="S232" s="256">
        <v>837</v>
      </c>
      <c r="T232" s="256">
        <v>668</v>
      </c>
      <c r="U232" s="256">
        <v>12921</v>
      </c>
      <c r="V232" s="257">
        <v>-51</v>
      </c>
      <c r="W232" s="258">
        <v>12870</v>
      </c>
      <c r="X232" s="256">
        <v>2130</v>
      </c>
      <c r="Y232" s="256">
        <v>3955</v>
      </c>
      <c r="Z232" s="257">
        <v>6836</v>
      </c>
      <c r="AA232" s="263">
        <v>4533</v>
      </c>
      <c r="AB232" s="273">
        <v>12843.277056166642</v>
      </c>
    </row>
    <row r="233" spans="1:28" ht="13.5" customHeight="1">
      <c r="A233" s="18">
        <v>21</v>
      </c>
      <c r="B233" s="19" t="s">
        <v>26</v>
      </c>
      <c r="C233" s="247">
        <v>1057</v>
      </c>
      <c r="D233" s="248">
        <v>5</v>
      </c>
      <c r="E233" s="248">
        <v>116</v>
      </c>
      <c r="F233" s="248">
        <v>134</v>
      </c>
      <c r="G233" s="248">
        <v>4086</v>
      </c>
      <c r="H233" s="248">
        <v>1863</v>
      </c>
      <c r="I233" s="248">
        <v>6950</v>
      </c>
      <c r="J233" s="248">
        <v>3699</v>
      </c>
      <c r="K233" s="248">
        <v>908</v>
      </c>
      <c r="L233" s="248">
        <v>3498</v>
      </c>
      <c r="M233" s="248">
        <v>38</v>
      </c>
      <c r="N233" s="248">
        <v>635</v>
      </c>
      <c r="O233" s="248">
        <v>13795</v>
      </c>
      <c r="P233" s="248">
        <v>2079</v>
      </c>
      <c r="Q233" s="248">
        <v>3103</v>
      </c>
      <c r="R233" s="248">
        <v>3841</v>
      </c>
      <c r="S233" s="248">
        <v>5460</v>
      </c>
      <c r="T233" s="248">
        <v>6126</v>
      </c>
      <c r="U233" s="248">
        <v>57393</v>
      </c>
      <c r="V233" s="249">
        <v>-227</v>
      </c>
      <c r="W233" s="250">
        <v>57166</v>
      </c>
      <c r="X233" s="248">
        <v>1178</v>
      </c>
      <c r="Y233" s="248">
        <v>11170</v>
      </c>
      <c r="Z233" s="249">
        <v>45045</v>
      </c>
      <c r="AA233" s="261">
        <v>4570</v>
      </c>
      <c r="AB233" s="271">
        <v>57166.599695495199</v>
      </c>
    </row>
    <row r="234" spans="1:28" ht="13.5" customHeight="1">
      <c r="A234" s="18">
        <v>22</v>
      </c>
      <c r="B234" s="19" t="s">
        <v>27</v>
      </c>
      <c r="C234" s="251">
        <v>44</v>
      </c>
      <c r="D234" s="252">
        <v>0</v>
      </c>
      <c r="E234" s="252">
        <v>4</v>
      </c>
      <c r="F234" s="252">
        <v>0</v>
      </c>
      <c r="G234" s="252">
        <v>900</v>
      </c>
      <c r="H234" s="252">
        <v>825</v>
      </c>
      <c r="I234" s="252">
        <v>3407</v>
      </c>
      <c r="J234" s="252">
        <v>1674</v>
      </c>
      <c r="K234" s="252">
        <v>470</v>
      </c>
      <c r="L234" s="252">
        <v>982</v>
      </c>
      <c r="M234" s="252">
        <v>732</v>
      </c>
      <c r="N234" s="252">
        <v>1645</v>
      </c>
      <c r="O234" s="252">
        <v>4062</v>
      </c>
      <c r="P234" s="252">
        <v>2905</v>
      </c>
      <c r="Q234" s="252">
        <v>10268</v>
      </c>
      <c r="R234" s="252">
        <v>1854</v>
      </c>
      <c r="S234" s="252">
        <v>4023</v>
      </c>
      <c r="T234" s="252">
        <v>1853</v>
      </c>
      <c r="U234" s="252">
        <v>35648</v>
      </c>
      <c r="V234" s="253">
        <v>-141</v>
      </c>
      <c r="W234" s="254">
        <v>35507</v>
      </c>
      <c r="X234" s="252">
        <v>48</v>
      </c>
      <c r="Y234" s="252">
        <v>4307</v>
      </c>
      <c r="Z234" s="253">
        <v>31293</v>
      </c>
      <c r="AA234" s="262">
        <v>4617</v>
      </c>
      <c r="AB234" s="272">
        <v>35530.112690679773</v>
      </c>
    </row>
    <row r="235" spans="1:28" ht="13.5" customHeight="1">
      <c r="A235" s="18">
        <v>23</v>
      </c>
      <c r="B235" s="19" t="s">
        <v>28</v>
      </c>
      <c r="C235" s="251">
        <v>1</v>
      </c>
      <c r="D235" s="252">
        <v>0</v>
      </c>
      <c r="E235" s="252">
        <v>78</v>
      </c>
      <c r="F235" s="252">
        <v>22</v>
      </c>
      <c r="G235" s="252">
        <v>460</v>
      </c>
      <c r="H235" s="252">
        <v>5499</v>
      </c>
      <c r="I235" s="252">
        <v>7613</v>
      </c>
      <c r="J235" s="252">
        <v>8330</v>
      </c>
      <c r="K235" s="252">
        <v>836</v>
      </c>
      <c r="L235" s="252">
        <v>5904</v>
      </c>
      <c r="M235" s="252">
        <v>2137</v>
      </c>
      <c r="N235" s="252">
        <v>2508</v>
      </c>
      <c r="O235" s="252">
        <v>14730</v>
      </c>
      <c r="P235" s="252">
        <v>7314</v>
      </c>
      <c r="Q235" s="252">
        <v>2772</v>
      </c>
      <c r="R235" s="252">
        <v>2887</v>
      </c>
      <c r="S235" s="252">
        <v>6018</v>
      </c>
      <c r="T235" s="252">
        <v>6736</v>
      </c>
      <c r="U235" s="252">
        <v>73845</v>
      </c>
      <c r="V235" s="253">
        <v>-293</v>
      </c>
      <c r="W235" s="254">
        <v>73552</v>
      </c>
      <c r="X235" s="252">
        <v>79</v>
      </c>
      <c r="Y235" s="252">
        <v>8095</v>
      </c>
      <c r="Z235" s="253">
        <v>65671</v>
      </c>
      <c r="AA235" s="262">
        <v>5324</v>
      </c>
      <c r="AB235" s="272">
        <v>73814.356340846047</v>
      </c>
    </row>
    <row r="236" spans="1:28" ht="13.5" customHeight="1">
      <c r="A236" s="18">
        <v>24</v>
      </c>
      <c r="B236" s="19" t="s">
        <v>29</v>
      </c>
      <c r="C236" s="251">
        <v>28</v>
      </c>
      <c r="D236" s="252">
        <v>0</v>
      </c>
      <c r="E236" s="252">
        <v>76</v>
      </c>
      <c r="F236" s="252">
        <v>0</v>
      </c>
      <c r="G236" s="252">
        <v>314</v>
      </c>
      <c r="H236" s="252">
        <v>772</v>
      </c>
      <c r="I236" s="252">
        <v>3744</v>
      </c>
      <c r="J236" s="252">
        <v>2517</v>
      </c>
      <c r="K236" s="252">
        <v>1214</v>
      </c>
      <c r="L236" s="252">
        <v>2756</v>
      </c>
      <c r="M236" s="252">
        <v>382</v>
      </c>
      <c r="N236" s="252">
        <v>610</v>
      </c>
      <c r="O236" s="252">
        <v>5810</v>
      </c>
      <c r="P236" s="252">
        <v>1756</v>
      </c>
      <c r="Q236" s="252">
        <v>1369</v>
      </c>
      <c r="R236" s="252">
        <v>3559</v>
      </c>
      <c r="S236" s="252">
        <v>6180</v>
      </c>
      <c r="T236" s="252">
        <v>2234</v>
      </c>
      <c r="U236" s="252">
        <v>33321</v>
      </c>
      <c r="V236" s="253">
        <v>-132</v>
      </c>
      <c r="W236" s="254">
        <v>33189</v>
      </c>
      <c r="X236" s="252">
        <v>104</v>
      </c>
      <c r="Y236" s="252">
        <v>4058</v>
      </c>
      <c r="Z236" s="253">
        <v>29159</v>
      </c>
      <c r="AA236" s="262">
        <v>4430</v>
      </c>
      <c r="AB236" s="272">
        <v>33196.728534210888</v>
      </c>
    </row>
    <row r="237" spans="1:28" ht="13.5" customHeight="1">
      <c r="A237" s="18">
        <v>25</v>
      </c>
      <c r="B237" s="19" t="s">
        <v>30</v>
      </c>
      <c r="C237" s="251">
        <v>232</v>
      </c>
      <c r="D237" s="252">
        <v>0</v>
      </c>
      <c r="E237" s="252">
        <v>20</v>
      </c>
      <c r="F237" s="252">
        <v>223</v>
      </c>
      <c r="G237" s="252">
        <v>5086</v>
      </c>
      <c r="H237" s="252">
        <v>15049</v>
      </c>
      <c r="I237" s="252">
        <v>5111</v>
      </c>
      <c r="J237" s="252">
        <v>3319</v>
      </c>
      <c r="K237" s="252">
        <v>1286</v>
      </c>
      <c r="L237" s="252">
        <v>694</v>
      </c>
      <c r="M237" s="252">
        <v>995</v>
      </c>
      <c r="N237" s="252">
        <v>425</v>
      </c>
      <c r="O237" s="252">
        <v>6364</v>
      </c>
      <c r="P237" s="252">
        <v>1820</v>
      </c>
      <c r="Q237" s="252">
        <v>1349</v>
      </c>
      <c r="R237" s="252">
        <v>1590</v>
      </c>
      <c r="S237" s="252">
        <v>9016</v>
      </c>
      <c r="T237" s="252">
        <v>3385</v>
      </c>
      <c r="U237" s="252">
        <v>55964</v>
      </c>
      <c r="V237" s="253">
        <v>-222</v>
      </c>
      <c r="W237" s="254">
        <v>55742</v>
      </c>
      <c r="X237" s="252">
        <v>252</v>
      </c>
      <c r="Y237" s="252">
        <v>10420</v>
      </c>
      <c r="Z237" s="253">
        <v>45292</v>
      </c>
      <c r="AA237" s="262">
        <v>6840</v>
      </c>
      <c r="AB237" s="272">
        <v>56497.057676826145</v>
      </c>
    </row>
    <row r="238" spans="1:28" ht="13.5" customHeight="1">
      <c r="A238" s="20">
        <v>26</v>
      </c>
      <c r="B238" s="21" t="s">
        <v>31</v>
      </c>
      <c r="C238" s="255">
        <v>193</v>
      </c>
      <c r="D238" s="256">
        <v>2</v>
      </c>
      <c r="E238" s="256">
        <v>104</v>
      </c>
      <c r="F238" s="256">
        <v>0</v>
      </c>
      <c r="G238" s="256">
        <v>27293</v>
      </c>
      <c r="H238" s="256">
        <v>4707</v>
      </c>
      <c r="I238" s="256">
        <v>6449</v>
      </c>
      <c r="J238" s="256">
        <v>13827</v>
      </c>
      <c r="K238" s="256">
        <v>5626</v>
      </c>
      <c r="L238" s="256">
        <v>1824</v>
      </c>
      <c r="M238" s="256">
        <v>417</v>
      </c>
      <c r="N238" s="256">
        <v>1225</v>
      </c>
      <c r="O238" s="256">
        <v>9132</v>
      </c>
      <c r="P238" s="256">
        <v>3781</v>
      </c>
      <c r="Q238" s="256">
        <v>2532</v>
      </c>
      <c r="R238" s="256">
        <v>21442</v>
      </c>
      <c r="S238" s="256">
        <v>15941</v>
      </c>
      <c r="T238" s="256">
        <v>4888</v>
      </c>
      <c r="U238" s="256">
        <v>119383</v>
      </c>
      <c r="V238" s="257">
        <v>-473</v>
      </c>
      <c r="W238" s="258">
        <v>118910</v>
      </c>
      <c r="X238" s="256">
        <v>299</v>
      </c>
      <c r="Y238" s="256">
        <v>33742</v>
      </c>
      <c r="Z238" s="257">
        <v>85342</v>
      </c>
      <c r="AA238" s="263">
        <v>5658</v>
      </c>
      <c r="AB238" s="273">
        <v>118846.47909273989</v>
      </c>
    </row>
    <row r="239" spans="1:28" ht="13.5" customHeight="1">
      <c r="A239" s="18">
        <v>27</v>
      </c>
      <c r="B239" s="19" t="s">
        <v>32</v>
      </c>
      <c r="C239" s="247">
        <v>201</v>
      </c>
      <c r="D239" s="248">
        <v>0</v>
      </c>
      <c r="E239" s="248">
        <v>303</v>
      </c>
      <c r="F239" s="248">
        <v>0</v>
      </c>
      <c r="G239" s="248">
        <v>640</v>
      </c>
      <c r="H239" s="248">
        <v>680</v>
      </c>
      <c r="I239" s="248">
        <v>5371</v>
      </c>
      <c r="J239" s="248">
        <v>4698</v>
      </c>
      <c r="K239" s="248">
        <v>748</v>
      </c>
      <c r="L239" s="248">
        <v>1328</v>
      </c>
      <c r="M239" s="248">
        <v>335</v>
      </c>
      <c r="N239" s="248">
        <v>1549</v>
      </c>
      <c r="O239" s="248">
        <v>6034</v>
      </c>
      <c r="P239" s="248">
        <v>1067</v>
      </c>
      <c r="Q239" s="248">
        <v>2837</v>
      </c>
      <c r="R239" s="248">
        <v>2782</v>
      </c>
      <c r="S239" s="248">
        <v>6121</v>
      </c>
      <c r="T239" s="248">
        <v>1989</v>
      </c>
      <c r="U239" s="248">
        <v>36683</v>
      </c>
      <c r="V239" s="249">
        <v>-145</v>
      </c>
      <c r="W239" s="250">
        <v>36538</v>
      </c>
      <c r="X239" s="248">
        <v>504</v>
      </c>
      <c r="Y239" s="248">
        <v>6011</v>
      </c>
      <c r="Z239" s="249">
        <v>30168</v>
      </c>
      <c r="AA239" s="261">
        <v>5491</v>
      </c>
      <c r="AB239" s="271">
        <v>36543.90583690894</v>
      </c>
    </row>
    <row r="240" spans="1:28" ht="13.5" customHeight="1">
      <c r="A240" s="18">
        <v>28</v>
      </c>
      <c r="B240" s="19" t="s">
        <v>33</v>
      </c>
      <c r="C240" s="251">
        <v>809</v>
      </c>
      <c r="D240" s="252">
        <v>3</v>
      </c>
      <c r="E240" s="252">
        <v>0</v>
      </c>
      <c r="F240" s="252">
        <v>22</v>
      </c>
      <c r="G240" s="252">
        <v>3342</v>
      </c>
      <c r="H240" s="252">
        <v>2346</v>
      </c>
      <c r="I240" s="252">
        <v>10223</v>
      </c>
      <c r="J240" s="252">
        <v>12689</v>
      </c>
      <c r="K240" s="252">
        <v>3075</v>
      </c>
      <c r="L240" s="252">
        <v>2685</v>
      </c>
      <c r="M240" s="252">
        <v>298</v>
      </c>
      <c r="N240" s="252">
        <v>1521</v>
      </c>
      <c r="O240" s="252">
        <v>10943</v>
      </c>
      <c r="P240" s="252">
        <v>4043</v>
      </c>
      <c r="Q240" s="252">
        <v>2927</v>
      </c>
      <c r="R240" s="252">
        <v>5002</v>
      </c>
      <c r="S240" s="252">
        <v>24380</v>
      </c>
      <c r="T240" s="252">
        <v>6915</v>
      </c>
      <c r="U240" s="252">
        <v>91223</v>
      </c>
      <c r="V240" s="253">
        <v>-361</v>
      </c>
      <c r="W240" s="254">
        <v>90862</v>
      </c>
      <c r="X240" s="252">
        <v>812</v>
      </c>
      <c r="Y240" s="252">
        <v>13587</v>
      </c>
      <c r="Z240" s="253">
        <v>76824</v>
      </c>
      <c r="AA240" s="262">
        <v>5112</v>
      </c>
      <c r="AB240" s="272">
        <v>90868.001096335327</v>
      </c>
    </row>
    <row r="241" spans="1:28" ht="13.5" customHeight="1">
      <c r="A241" s="18">
        <v>29</v>
      </c>
      <c r="B241" s="19" t="s">
        <v>34</v>
      </c>
      <c r="C241" s="251">
        <v>3</v>
      </c>
      <c r="D241" s="252">
        <v>5</v>
      </c>
      <c r="E241" s="252">
        <v>16</v>
      </c>
      <c r="F241" s="252">
        <v>0</v>
      </c>
      <c r="G241" s="252">
        <v>103</v>
      </c>
      <c r="H241" s="252">
        <v>147</v>
      </c>
      <c r="I241" s="252">
        <v>852</v>
      </c>
      <c r="J241" s="252">
        <v>28</v>
      </c>
      <c r="K241" s="252">
        <v>228</v>
      </c>
      <c r="L241" s="252">
        <v>481</v>
      </c>
      <c r="M241" s="252">
        <v>0</v>
      </c>
      <c r="N241" s="252">
        <v>4</v>
      </c>
      <c r="O241" s="252">
        <v>107</v>
      </c>
      <c r="P241" s="252">
        <v>70</v>
      </c>
      <c r="Q241" s="252">
        <v>457</v>
      </c>
      <c r="R241" s="252">
        <v>325</v>
      </c>
      <c r="S241" s="252">
        <v>166</v>
      </c>
      <c r="T241" s="252">
        <v>554</v>
      </c>
      <c r="U241" s="252">
        <v>3546</v>
      </c>
      <c r="V241" s="253">
        <v>-14</v>
      </c>
      <c r="W241" s="254">
        <v>3532</v>
      </c>
      <c r="X241" s="252">
        <v>24</v>
      </c>
      <c r="Y241" s="252">
        <v>955</v>
      </c>
      <c r="Z241" s="253">
        <v>2567</v>
      </c>
      <c r="AA241" s="262">
        <v>6143</v>
      </c>
      <c r="AB241" s="272">
        <v>3535.4896277858584</v>
      </c>
    </row>
    <row r="242" spans="1:28" ht="13.5" customHeight="1">
      <c r="A242" s="18">
        <v>30</v>
      </c>
      <c r="B242" s="19" t="s">
        <v>35</v>
      </c>
      <c r="C242" s="251">
        <v>2</v>
      </c>
      <c r="D242" s="252">
        <v>0</v>
      </c>
      <c r="E242" s="252">
        <v>34</v>
      </c>
      <c r="F242" s="252">
        <v>0</v>
      </c>
      <c r="G242" s="252">
        <v>55</v>
      </c>
      <c r="H242" s="252">
        <v>133</v>
      </c>
      <c r="I242" s="252">
        <v>667</v>
      </c>
      <c r="J242" s="252">
        <v>96</v>
      </c>
      <c r="K242" s="252">
        <v>180</v>
      </c>
      <c r="L242" s="252">
        <v>729</v>
      </c>
      <c r="M242" s="252">
        <v>0</v>
      </c>
      <c r="N242" s="252">
        <v>8</v>
      </c>
      <c r="O242" s="252">
        <v>192</v>
      </c>
      <c r="P242" s="252">
        <v>137</v>
      </c>
      <c r="Q242" s="252">
        <v>448</v>
      </c>
      <c r="R242" s="252">
        <v>479</v>
      </c>
      <c r="S242" s="252">
        <v>197</v>
      </c>
      <c r="T242" s="252">
        <v>814</v>
      </c>
      <c r="U242" s="252">
        <v>4171</v>
      </c>
      <c r="V242" s="253">
        <v>-17</v>
      </c>
      <c r="W242" s="254">
        <v>4154</v>
      </c>
      <c r="X242" s="252">
        <v>36</v>
      </c>
      <c r="Y242" s="252">
        <v>722</v>
      </c>
      <c r="Z242" s="253">
        <v>3413</v>
      </c>
      <c r="AA242" s="262">
        <v>6047</v>
      </c>
      <c r="AB242" s="272">
        <v>4154.3937270830938</v>
      </c>
    </row>
    <row r="243" spans="1:28" ht="13.5" customHeight="1">
      <c r="A243" s="18">
        <v>31</v>
      </c>
      <c r="B243" s="19" t="s">
        <v>36</v>
      </c>
      <c r="C243" s="251">
        <v>63</v>
      </c>
      <c r="D243" s="252">
        <v>0</v>
      </c>
      <c r="E243" s="252">
        <v>13</v>
      </c>
      <c r="F243" s="252">
        <v>22</v>
      </c>
      <c r="G243" s="252">
        <v>129</v>
      </c>
      <c r="H243" s="252">
        <v>102</v>
      </c>
      <c r="I243" s="252">
        <v>192</v>
      </c>
      <c r="J243" s="252">
        <v>25</v>
      </c>
      <c r="K243" s="252">
        <v>131</v>
      </c>
      <c r="L243" s="252">
        <v>84</v>
      </c>
      <c r="M243" s="252">
        <v>0</v>
      </c>
      <c r="N243" s="252">
        <v>3</v>
      </c>
      <c r="O243" s="252">
        <v>201</v>
      </c>
      <c r="P243" s="252">
        <v>6</v>
      </c>
      <c r="Q243" s="252">
        <v>405</v>
      </c>
      <c r="R243" s="252">
        <v>245</v>
      </c>
      <c r="S243" s="252">
        <v>415</v>
      </c>
      <c r="T243" s="252">
        <v>79</v>
      </c>
      <c r="U243" s="252">
        <v>2115</v>
      </c>
      <c r="V243" s="253">
        <v>-8</v>
      </c>
      <c r="W243" s="254">
        <v>2107</v>
      </c>
      <c r="X243" s="252">
        <v>76</v>
      </c>
      <c r="Y243" s="252">
        <v>343</v>
      </c>
      <c r="Z243" s="253">
        <v>1696</v>
      </c>
      <c r="AA243" s="262">
        <v>4580</v>
      </c>
      <c r="AB243" s="272">
        <v>2109.3828786503523</v>
      </c>
    </row>
    <row r="244" spans="1:28" ht="13.5" customHeight="1">
      <c r="A244" s="18">
        <v>32</v>
      </c>
      <c r="B244" s="19" t="s">
        <v>37</v>
      </c>
      <c r="C244" s="251">
        <v>1</v>
      </c>
      <c r="D244" s="252">
        <v>0</v>
      </c>
      <c r="E244" s="252">
        <v>91</v>
      </c>
      <c r="F244" s="252">
        <v>0</v>
      </c>
      <c r="G244" s="252">
        <v>12</v>
      </c>
      <c r="H244" s="252">
        <v>50</v>
      </c>
      <c r="I244" s="252">
        <v>210</v>
      </c>
      <c r="J244" s="252">
        <v>16</v>
      </c>
      <c r="K244" s="252">
        <v>36</v>
      </c>
      <c r="L244" s="252">
        <v>46</v>
      </c>
      <c r="M244" s="252">
        <v>0</v>
      </c>
      <c r="N244" s="252">
        <v>4</v>
      </c>
      <c r="O244" s="252">
        <v>60</v>
      </c>
      <c r="P244" s="252">
        <v>0</v>
      </c>
      <c r="Q244" s="252">
        <v>280</v>
      </c>
      <c r="R244" s="252">
        <v>196</v>
      </c>
      <c r="S244" s="252">
        <v>133</v>
      </c>
      <c r="T244" s="252">
        <v>17</v>
      </c>
      <c r="U244" s="252">
        <v>1152</v>
      </c>
      <c r="V244" s="253">
        <v>-5</v>
      </c>
      <c r="W244" s="254">
        <v>1147</v>
      </c>
      <c r="X244" s="252">
        <v>92</v>
      </c>
      <c r="Y244" s="252">
        <v>222</v>
      </c>
      <c r="Z244" s="253">
        <v>838</v>
      </c>
      <c r="AA244" s="262">
        <v>3259</v>
      </c>
      <c r="AB244" s="272">
        <v>1148.8135809303103</v>
      </c>
    </row>
    <row r="245" spans="1:28" ht="13.5" customHeight="1">
      <c r="A245" s="18">
        <v>33</v>
      </c>
      <c r="B245" s="19" t="s">
        <v>38</v>
      </c>
      <c r="C245" s="251">
        <v>736</v>
      </c>
      <c r="D245" s="252">
        <v>0</v>
      </c>
      <c r="E245" s="252">
        <v>41</v>
      </c>
      <c r="F245" s="252">
        <v>89</v>
      </c>
      <c r="G245" s="252">
        <v>610</v>
      </c>
      <c r="H245" s="252">
        <v>222</v>
      </c>
      <c r="I245" s="252">
        <v>1781</v>
      </c>
      <c r="J245" s="252">
        <v>228</v>
      </c>
      <c r="K245" s="252">
        <v>81</v>
      </c>
      <c r="L245" s="252">
        <v>159</v>
      </c>
      <c r="M245" s="252">
        <v>0</v>
      </c>
      <c r="N245" s="252">
        <v>4</v>
      </c>
      <c r="O245" s="252">
        <v>109</v>
      </c>
      <c r="P245" s="252">
        <v>46</v>
      </c>
      <c r="Q245" s="252">
        <v>754</v>
      </c>
      <c r="R245" s="252">
        <v>292</v>
      </c>
      <c r="S245" s="252">
        <v>169</v>
      </c>
      <c r="T245" s="252">
        <v>152</v>
      </c>
      <c r="U245" s="252">
        <v>5473</v>
      </c>
      <c r="V245" s="253">
        <v>-22</v>
      </c>
      <c r="W245" s="254">
        <v>5451</v>
      </c>
      <c r="X245" s="252">
        <v>777</v>
      </c>
      <c r="Y245" s="252">
        <v>2480</v>
      </c>
      <c r="Z245" s="253">
        <v>2216</v>
      </c>
      <c r="AA245" s="262">
        <v>4983</v>
      </c>
      <c r="AB245" s="272">
        <v>5444.7897328489062</v>
      </c>
    </row>
    <row r="246" spans="1:28" ht="13.5" customHeight="1">
      <c r="A246" s="18">
        <v>34</v>
      </c>
      <c r="B246" s="19" t="s">
        <v>39</v>
      </c>
      <c r="C246" s="251">
        <v>262</v>
      </c>
      <c r="D246" s="252">
        <v>0</v>
      </c>
      <c r="E246" s="252">
        <v>13</v>
      </c>
      <c r="F246" s="252">
        <v>0</v>
      </c>
      <c r="G246" s="252">
        <v>251</v>
      </c>
      <c r="H246" s="252">
        <v>74</v>
      </c>
      <c r="I246" s="252">
        <v>2090</v>
      </c>
      <c r="J246" s="252">
        <v>57</v>
      </c>
      <c r="K246" s="252">
        <v>88</v>
      </c>
      <c r="L246" s="252">
        <v>144</v>
      </c>
      <c r="M246" s="252">
        <v>0</v>
      </c>
      <c r="N246" s="252">
        <v>9</v>
      </c>
      <c r="O246" s="252">
        <v>30</v>
      </c>
      <c r="P246" s="252">
        <v>6</v>
      </c>
      <c r="Q246" s="252">
        <v>367</v>
      </c>
      <c r="R246" s="252">
        <v>247</v>
      </c>
      <c r="S246" s="252">
        <v>137</v>
      </c>
      <c r="T246" s="252">
        <v>55</v>
      </c>
      <c r="U246" s="252">
        <v>3830</v>
      </c>
      <c r="V246" s="253">
        <v>-15</v>
      </c>
      <c r="W246" s="254">
        <v>3815</v>
      </c>
      <c r="X246" s="252">
        <v>275</v>
      </c>
      <c r="Y246" s="252">
        <v>2341</v>
      </c>
      <c r="Z246" s="253">
        <v>1214</v>
      </c>
      <c r="AA246" s="262">
        <v>6862</v>
      </c>
      <c r="AB246" s="272">
        <v>3811.5662554145288</v>
      </c>
    </row>
    <row r="247" spans="1:28" ht="13.5" customHeight="1">
      <c r="A247" s="18">
        <v>35</v>
      </c>
      <c r="B247" s="19" t="s">
        <v>40</v>
      </c>
      <c r="C247" s="251">
        <v>131</v>
      </c>
      <c r="D247" s="252">
        <v>3</v>
      </c>
      <c r="E247" s="252">
        <v>82</v>
      </c>
      <c r="F247" s="252">
        <v>0</v>
      </c>
      <c r="G247" s="252">
        <v>345</v>
      </c>
      <c r="H247" s="252">
        <v>106</v>
      </c>
      <c r="I247" s="252">
        <v>885</v>
      </c>
      <c r="J247" s="252">
        <v>215</v>
      </c>
      <c r="K247" s="252">
        <v>263</v>
      </c>
      <c r="L247" s="252">
        <v>113</v>
      </c>
      <c r="M247" s="252">
        <v>0</v>
      </c>
      <c r="N247" s="252">
        <v>9</v>
      </c>
      <c r="O247" s="252">
        <v>141</v>
      </c>
      <c r="P247" s="252">
        <v>105</v>
      </c>
      <c r="Q247" s="252">
        <v>641</v>
      </c>
      <c r="R247" s="252">
        <v>481</v>
      </c>
      <c r="S247" s="252">
        <v>176</v>
      </c>
      <c r="T247" s="252">
        <v>174</v>
      </c>
      <c r="U247" s="252">
        <v>3870</v>
      </c>
      <c r="V247" s="253">
        <v>-15</v>
      </c>
      <c r="W247" s="254">
        <v>3855</v>
      </c>
      <c r="X247" s="252">
        <v>216</v>
      </c>
      <c r="Y247" s="252">
        <v>1230</v>
      </c>
      <c r="Z247" s="253">
        <v>2424</v>
      </c>
      <c r="AA247" s="262">
        <v>4955</v>
      </c>
      <c r="AB247" s="272">
        <v>3855.4254771101841</v>
      </c>
    </row>
    <row r="248" spans="1:28" ht="13.5" customHeight="1">
      <c r="A248" s="18">
        <v>36</v>
      </c>
      <c r="B248" s="19" t="s">
        <v>41</v>
      </c>
      <c r="C248" s="251">
        <v>393</v>
      </c>
      <c r="D248" s="252">
        <v>0</v>
      </c>
      <c r="E248" s="252">
        <v>132</v>
      </c>
      <c r="F248" s="252">
        <v>0</v>
      </c>
      <c r="G248" s="252">
        <v>415</v>
      </c>
      <c r="H248" s="252">
        <v>44</v>
      </c>
      <c r="I248" s="252">
        <v>698</v>
      </c>
      <c r="J248" s="252">
        <v>163</v>
      </c>
      <c r="K248" s="252">
        <v>416</v>
      </c>
      <c r="L248" s="252">
        <v>199</v>
      </c>
      <c r="M248" s="252">
        <v>0</v>
      </c>
      <c r="N248" s="252">
        <v>4</v>
      </c>
      <c r="O248" s="252">
        <v>261</v>
      </c>
      <c r="P248" s="252">
        <v>32</v>
      </c>
      <c r="Q248" s="252">
        <v>688</v>
      </c>
      <c r="R248" s="252">
        <v>351</v>
      </c>
      <c r="S248" s="252">
        <v>375</v>
      </c>
      <c r="T248" s="252">
        <v>183</v>
      </c>
      <c r="U248" s="252">
        <v>4354</v>
      </c>
      <c r="V248" s="253">
        <v>-17</v>
      </c>
      <c r="W248" s="254">
        <v>4337</v>
      </c>
      <c r="X248" s="252">
        <v>525</v>
      </c>
      <c r="Y248" s="252">
        <v>1113</v>
      </c>
      <c r="Z248" s="253">
        <v>2716</v>
      </c>
      <c r="AA248" s="262">
        <v>4494</v>
      </c>
      <c r="AB248" s="272">
        <v>4326.6156659695516</v>
      </c>
    </row>
    <row r="249" spans="1:28" ht="13.5" customHeight="1">
      <c r="A249" s="18">
        <v>37</v>
      </c>
      <c r="B249" s="19" t="s">
        <v>49</v>
      </c>
      <c r="C249" s="251">
        <v>1308</v>
      </c>
      <c r="D249" s="252">
        <v>0</v>
      </c>
      <c r="E249" s="252">
        <v>650</v>
      </c>
      <c r="F249" s="252">
        <v>22</v>
      </c>
      <c r="G249" s="252">
        <v>2427</v>
      </c>
      <c r="H249" s="252">
        <v>1198</v>
      </c>
      <c r="I249" s="252">
        <v>2110</v>
      </c>
      <c r="J249" s="252">
        <v>1245</v>
      </c>
      <c r="K249" s="252">
        <v>1003</v>
      </c>
      <c r="L249" s="252">
        <v>1112</v>
      </c>
      <c r="M249" s="252">
        <v>0</v>
      </c>
      <c r="N249" s="252">
        <v>216</v>
      </c>
      <c r="O249" s="252">
        <v>1976</v>
      </c>
      <c r="P249" s="252">
        <v>713</v>
      </c>
      <c r="Q249" s="252">
        <v>3874</v>
      </c>
      <c r="R249" s="252">
        <v>1728</v>
      </c>
      <c r="S249" s="252">
        <v>1923</v>
      </c>
      <c r="T249" s="252">
        <v>1086</v>
      </c>
      <c r="U249" s="252">
        <v>22591</v>
      </c>
      <c r="V249" s="253">
        <v>-89</v>
      </c>
      <c r="W249" s="254">
        <v>22502</v>
      </c>
      <c r="X249" s="252">
        <v>1958</v>
      </c>
      <c r="Y249" s="252">
        <v>4559</v>
      </c>
      <c r="Z249" s="253">
        <v>16074</v>
      </c>
      <c r="AA249" s="262">
        <v>4594</v>
      </c>
      <c r="AB249" s="272">
        <v>22505.246821947712</v>
      </c>
    </row>
    <row r="250" spans="1:28" ht="13.5" customHeight="1">
      <c r="A250" s="20">
        <v>38</v>
      </c>
      <c r="B250" s="21" t="s">
        <v>50</v>
      </c>
      <c r="C250" s="255">
        <v>3059</v>
      </c>
      <c r="D250" s="256">
        <v>0</v>
      </c>
      <c r="E250" s="256">
        <v>203</v>
      </c>
      <c r="F250" s="256">
        <v>67</v>
      </c>
      <c r="G250" s="256">
        <v>1700</v>
      </c>
      <c r="H250" s="256">
        <v>1517</v>
      </c>
      <c r="I250" s="256">
        <v>5360</v>
      </c>
      <c r="J250" s="256">
        <v>3311</v>
      </c>
      <c r="K250" s="256">
        <v>1577</v>
      </c>
      <c r="L250" s="256">
        <v>777</v>
      </c>
      <c r="M250" s="256">
        <v>30</v>
      </c>
      <c r="N250" s="256">
        <v>432</v>
      </c>
      <c r="O250" s="256">
        <v>7753</v>
      </c>
      <c r="P250" s="256">
        <v>1991</v>
      </c>
      <c r="Q250" s="256">
        <v>6346</v>
      </c>
      <c r="R250" s="256">
        <v>5480</v>
      </c>
      <c r="S250" s="256">
        <v>10048</v>
      </c>
      <c r="T250" s="256">
        <v>3064</v>
      </c>
      <c r="U250" s="256">
        <v>52715</v>
      </c>
      <c r="V250" s="257">
        <v>-209</v>
      </c>
      <c r="W250" s="258">
        <v>52506</v>
      </c>
      <c r="X250" s="256">
        <v>3262</v>
      </c>
      <c r="Y250" s="256">
        <v>7127</v>
      </c>
      <c r="Z250" s="257">
        <v>42326</v>
      </c>
      <c r="AA250" s="263">
        <v>5155</v>
      </c>
      <c r="AB250" s="273">
        <v>52497.797364060119</v>
      </c>
    </row>
    <row r="251" spans="1:28" ht="13.5" customHeight="1">
      <c r="A251" s="20">
        <v>39</v>
      </c>
      <c r="B251" s="21" t="s">
        <v>42</v>
      </c>
      <c r="C251" s="243">
        <v>660</v>
      </c>
      <c r="D251" s="244">
        <v>0</v>
      </c>
      <c r="E251" s="244">
        <v>1</v>
      </c>
      <c r="F251" s="244">
        <v>0</v>
      </c>
      <c r="G251" s="244">
        <v>503</v>
      </c>
      <c r="H251" s="244">
        <v>75</v>
      </c>
      <c r="I251" s="244">
        <v>2020</v>
      </c>
      <c r="J251" s="244">
        <v>117</v>
      </c>
      <c r="K251" s="244">
        <v>169</v>
      </c>
      <c r="L251" s="244">
        <v>91</v>
      </c>
      <c r="M251" s="244">
        <v>0</v>
      </c>
      <c r="N251" s="244">
        <v>10</v>
      </c>
      <c r="O251" s="244">
        <v>214</v>
      </c>
      <c r="P251" s="244">
        <v>38</v>
      </c>
      <c r="Q251" s="244">
        <v>594</v>
      </c>
      <c r="R251" s="244">
        <v>324</v>
      </c>
      <c r="S251" s="244">
        <v>156</v>
      </c>
      <c r="T251" s="244">
        <v>107</v>
      </c>
      <c r="U251" s="244">
        <v>5079</v>
      </c>
      <c r="V251" s="245">
        <v>-20</v>
      </c>
      <c r="W251" s="246">
        <v>5059</v>
      </c>
      <c r="X251" s="244">
        <v>661</v>
      </c>
      <c r="Y251" s="244">
        <v>2523</v>
      </c>
      <c r="Z251" s="245">
        <v>1895</v>
      </c>
      <c r="AA251" s="260">
        <v>6727</v>
      </c>
      <c r="AB251" s="270">
        <v>5046.3655757701372</v>
      </c>
    </row>
    <row r="252" spans="1:28" ht="13.5" customHeight="1">
      <c r="A252" s="18">
        <v>40</v>
      </c>
      <c r="B252" s="19" t="s">
        <v>43</v>
      </c>
      <c r="C252" s="247">
        <v>1180</v>
      </c>
      <c r="D252" s="248">
        <v>9</v>
      </c>
      <c r="E252" s="248">
        <v>81</v>
      </c>
      <c r="F252" s="248">
        <v>0</v>
      </c>
      <c r="G252" s="248">
        <v>1286</v>
      </c>
      <c r="H252" s="248">
        <v>327</v>
      </c>
      <c r="I252" s="248">
        <v>2288</v>
      </c>
      <c r="J252" s="248">
        <v>366</v>
      </c>
      <c r="K252" s="248">
        <v>1390</v>
      </c>
      <c r="L252" s="248">
        <v>2569</v>
      </c>
      <c r="M252" s="248">
        <v>0</v>
      </c>
      <c r="N252" s="248">
        <v>23</v>
      </c>
      <c r="O252" s="248">
        <v>1043</v>
      </c>
      <c r="P252" s="248">
        <v>774</v>
      </c>
      <c r="Q252" s="248">
        <v>529</v>
      </c>
      <c r="R252" s="248">
        <v>1904</v>
      </c>
      <c r="S252" s="248">
        <v>473</v>
      </c>
      <c r="T252" s="248">
        <v>2048</v>
      </c>
      <c r="U252" s="248">
        <v>16290</v>
      </c>
      <c r="V252" s="249">
        <v>-64</v>
      </c>
      <c r="W252" s="250">
        <v>16226</v>
      </c>
      <c r="X252" s="248">
        <v>1270</v>
      </c>
      <c r="Y252" s="248">
        <v>3574</v>
      </c>
      <c r="Z252" s="249">
        <v>11446</v>
      </c>
      <c r="AA252" s="261">
        <v>5534</v>
      </c>
      <c r="AB252" s="271">
        <v>16192.67161956065</v>
      </c>
    </row>
    <row r="253" spans="1:28" ht="13.5" customHeight="1">
      <c r="A253" s="20">
        <v>41</v>
      </c>
      <c r="B253" s="21" t="s">
        <v>44</v>
      </c>
      <c r="C253" s="255">
        <v>199</v>
      </c>
      <c r="D253" s="256">
        <v>0</v>
      </c>
      <c r="E253" s="256">
        <v>105</v>
      </c>
      <c r="F253" s="256">
        <v>22</v>
      </c>
      <c r="G253" s="256">
        <v>637</v>
      </c>
      <c r="H253" s="256">
        <v>272</v>
      </c>
      <c r="I253" s="256">
        <v>5273</v>
      </c>
      <c r="J253" s="256">
        <v>177</v>
      </c>
      <c r="K253" s="256">
        <v>408</v>
      </c>
      <c r="L253" s="256">
        <v>438</v>
      </c>
      <c r="M253" s="256">
        <v>0</v>
      </c>
      <c r="N253" s="256">
        <v>5</v>
      </c>
      <c r="O253" s="256">
        <v>331</v>
      </c>
      <c r="P253" s="256">
        <v>139</v>
      </c>
      <c r="Q253" s="256">
        <v>741</v>
      </c>
      <c r="R253" s="256">
        <v>630</v>
      </c>
      <c r="S253" s="256">
        <v>410</v>
      </c>
      <c r="T253" s="256">
        <v>270</v>
      </c>
      <c r="U253" s="256">
        <v>10057</v>
      </c>
      <c r="V253" s="257">
        <v>-40</v>
      </c>
      <c r="W253" s="258">
        <v>10017</v>
      </c>
      <c r="X253" s="256">
        <v>304</v>
      </c>
      <c r="Y253" s="256">
        <v>5932</v>
      </c>
      <c r="Z253" s="257">
        <v>3821</v>
      </c>
      <c r="AA253" s="263">
        <v>5848</v>
      </c>
      <c r="AB253" s="273">
        <v>10022.171324737954</v>
      </c>
    </row>
    <row r="254" spans="1:28" ht="15.75" customHeight="1">
      <c r="A254" s="111" t="s">
        <v>146</v>
      </c>
      <c r="B254" s="7" t="s">
        <v>152</v>
      </c>
      <c r="C254" s="247">
        <v>14206</v>
      </c>
      <c r="D254" s="248">
        <v>214</v>
      </c>
      <c r="E254" s="248">
        <v>2173</v>
      </c>
      <c r="F254" s="248">
        <v>2300</v>
      </c>
      <c r="G254" s="248">
        <v>21108</v>
      </c>
      <c r="H254" s="248">
        <v>23652</v>
      </c>
      <c r="I254" s="248">
        <v>49627</v>
      </c>
      <c r="J254" s="248">
        <v>23151</v>
      </c>
      <c r="K254" s="248">
        <v>14038</v>
      </c>
      <c r="L254" s="248">
        <v>28936</v>
      </c>
      <c r="M254" s="248">
        <v>4317</v>
      </c>
      <c r="N254" s="248">
        <v>5802</v>
      </c>
      <c r="O254" s="248">
        <v>37331</v>
      </c>
      <c r="P254" s="248">
        <v>23559</v>
      </c>
      <c r="Q254" s="248">
        <v>28935</v>
      </c>
      <c r="R254" s="248">
        <v>30463</v>
      </c>
      <c r="S254" s="248">
        <v>51563</v>
      </c>
      <c r="T254" s="248">
        <v>24870</v>
      </c>
      <c r="U254" s="248">
        <v>386245</v>
      </c>
      <c r="V254" s="249">
        <v>-1530</v>
      </c>
      <c r="W254" s="250">
        <v>384715</v>
      </c>
      <c r="X254" s="248">
        <v>16593</v>
      </c>
      <c r="Y254" s="248">
        <v>73035</v>
      </c>
      <c r="Z254" s="249">
        <v>296617</v>
      </c>
      <c r="AA254" s="261">
        <v>5174</v>
      </c>
      <c r="AB254" s="271">
        <v>385326.18750346306</v>
      </c>
    </row>
    <row r="255" spans="1:28" ht="15.75" customHeight="1">
      <c r="A255" s="112" t="s">
        <v>147</v>
      </c>
      <c r="B255" s="17" t="s">
        <v>153</v>
      </c>
      <c r="C255" s="251">
        <v>5369</v>
      </c>
      <c r="D255" s="252">
        <v>11</v>
      </c>
      <c r="E255" s="252">
        <v>1752</v>
      </c>
      <c r="F255" s="252">
        <v>1406</v>
      </c>
      <c r="G255" s="252">
        <v>94774</v>
      </c>
      <c r="H255" s="252">
        <v>84138</v>
      </c>
      <c r="I255" s="252">
        <v>136712</v>
      </c>
      <c r="J255" s="252">
        <v>183685</v>
      </c>
      <c r="K255" s="252">
        <v>56342</v>
      </c>
      <c r="L255" s="252">
        <v>50860</v>
      </c>
      <c r="M255" s="252">
        <v>79737</v>
      </c>
      <c r="N255" s="252">
        <v>37000</v>
      </c>
      <c r="O255" s="252">
        <v>205371</v>
      </c>
      <c r="P255" s="252">
        <v>143921</v>
      </c>
      <c r="Q255" s="252">
        <v>87514</v>
      </c>
      <c r="R255" s="252">
        <v>100042</v>
      </c>
      <c r="S255" s="252">
        <v>191916</v>
      </c>
      <c r="T255" s="252">
        <v>93713</v>
      </c>
      <c r="U255" s="252">
        <v>1554263</v>
      </c>
      <c r="V255" s="253">
        <v>-6158</v>
      </c>
      <c r="W255" s="254">
        <v>1548105</v>
      </c>
      <c r="X255" s="252">
        <v>7132</v>
      </c>
      <c r="Y255" s="252">
        <v>232892</v>
      </c>
      <c r="Z255" s="253">
        <v>1314239</v>
      </c>
      <c r="AA255" s="262">
        <v>5968</v>
      </c>
      <c r="AB255" s="272">
        <v>1551528.1514624541</v>
      </c>
    </row>
    <row r="256" spans="1:28" ht="15.75" customHeight="1">
      <c r="A256" s="112" t="s">
        <v>148</v>
      </c>
      <c r="B256" s="17" t="s">
        <v>154</v>
      </c>
      <c r="C256" s="251">
        <v>14061</v>
      </c>
      <c r="D256" s="252">
        <v>15</v>
      </c>
      <c r="E256" s="252">
        <v>2993</v>
      </c>
      <c r="F256" s="252">
        <v>1115</v>
      </c>
      <c r="G256" s="252">
        <v>43142</v>
      </c>
      <c r="H256" s="252">
        <v>15856</v>
      </c>
      <c r="I256" s="252">
        <v>67594</v>
      </c>
      <c r="J256" s="252">
        <v>53928</v>
      </c>
      <c r="K256" s="252">
        <v>29412</v>
      </c>
      <c r="L256" s="252">
        <v>17376</v>
      </c>
      <c r="M256" s="252">
        <v>4696</v>
      </c>
      <c r="N256" s="252">
        <v>7884</v>
      </c>
      <c r="O256" s="252">
        <v>73403</v>
      </c>
      <c r="P256" s="252">
        <v>37867</v>
      </c>
      <c r="Q256" s="252">
        <v>41434</v>
      </c>
      <c r="R256" s="252">
        <v>35057</v>
      </c>
      <c r="S256" s="252">
        <v>97404</v>
      </c>
      <c r="T256" s="252">
        <v>34799</v>
      </c>
      <c r="U256" s="252">
        <v>578036</v>
      </c>
      <c r="V256" s="253">
        <v>-2289</v>
      </c>
      <c r="W256" s="254">
        <v>575747</v>
      </c>
      <c r="X256" s="252">
        <v>17069</v>
      </c>
      <c r="Y256" s="252">
        <v>111851</v>
      </c>
      <c r="Z256" s="253">
        <v>449116</v>
      </c>
      <c r="AA256" s="262">
        <v>5214</v>
      </c>
      <c r="AB256" s="272">
        <v>575720.49410373648</v>
      </c>
    </row>
    <row r="257" spans="1:28" ht="15.75" customHeight="1">
      <c r="A257" s="112" t="s">
        <v>149</v>
      </c>
      <c r="B257" s="17" t="s">
        <v>155</v>
      </c>
      <c r="C257" s="251">
        <v>253</v>
      </c>
      <c r="D257" s="252">
        <v>32</v>
      </c>
      <c r="E257" s="252">
        <v>2315</v>
      </c>
      <c r="F257" s="252">
        <v>379</v>
      </c>
      <c r="G257" s="252">
        <v>12523</v>
      </c>
      <c r="H257" s="252">
        <v>28919</v>
      </c>
      <c r="I257" s="252">
        <v>88860</v>
      </c>
      <c r="J257" s="252">
        <v>121597</v>
      </c>
      <c r="K257" s="252">
        <v>139059</v>
      </c>
      <c r="L257" s="252">
        <v>51475</v>
      </c>
      <c r="M257" s="252">
        <v>102547</v>
      </c>
      <c r="N257" s="252">
        <v>91748</v>
      </c>
      <c r="O257" s="252">
        <v>131704</v>
      </c>
      <c r="P257" s="252">
        <v>171687</v>
      </c>
      <c r="Q257" s="252">
        <v>189063</v>
      </c>
      <c r="R257" s="252">
        <v>38193</v>
      </c>
      <c r="S257" s="252">
        <v>105825</v>
      </c>
      <c r="T257" s="252">
        <v>59494</v>
      </c>
      <c r="U257" s="252">
        <v>1335673</v>
      </c>
      <c r="V257" s="253">
        <v>-5296</v>
      </c>
      <c r="W257" s="254">
        <v>1330377</v>
      </c>
      <c r="X257" s="252">
        <v>2600</v>
      </c>
      <c r="Y257" s="252">
        <v>101762</v>
      </c>
      <c r="Z257" s="253">
        <v>1231311</v>
      </c>
      <c r="AA257" s="262">
        <v>7459</v>
      </c>
      <c r="AB257" s="272">
        <v>1332618.3499908466</v>
      </c>
    </row>
    <row r="258" spans="1:28" ht="15.75" customHeight="1">
      <c r="A258" s="112" t="s">
        <v>150</v>
      </c>
      <c r="B258" s="17" t="s">
        <v>156</v>
      </c>
      <c r="C258" s="251">
        <v>8123</v>
      </c>
      <c r="D258" s="252">
        <v>43</v>
      </c>
      <c r="E258" s="252">
        <v>727</v>
      </c>
      <c r="F258" s="252">
        <v>245</v>
      </c>
      <c r="G258" s="252">
        <v>9200</v>
      </c>
      <c r="H258" s="252">
        <v>6627</v>
      </c>
      <c r="I258" s="252">
        <v>16655</v>
      </c>
      <c r="J258" s="252">
        <v>18735</v>
      </c>
      <c r="K258" s="252">
        <v>7640</v>
      </c>
      <c r="L258" s="252">
        <v>7221</v>
      </c>
      <c r="M258" s="252">
        <v>2035</v>
      </c>
      <c r="N258" s="252">
        <v>2360</v>
      </c>
      <c r="O258" s="252">
        <v>14786</v>
      </c>
      <c r="P258" s="252">
        <v>11679</v>
      </c>
      <c r="Q258" s="252">
        <v>17516</v>
      </c>
      <c r="R258" s="252">
        <v>10554</v>
      </c>
      <c r="S258" s="252">
        <v>20184</v>
      </c>
      <c r="T258" s="252">
        <v>6606</v>
      </c>
      <c r="U258" s="252">
        <v>160936</v>
      </c>
      <c r="V258" s="253">
        <v>-638</v>
      </c>
      <c r="W258" s="254">
        <v>160298</v>
      </c>
      <c r="X258" s="252">
        <v>8893</v>
      </c>
      <c r="Y258" s="252">
        <v>26100</v>
      </c>
      <c r="Z258" s="253">
        <v>125943</v>
      </c>
      <c r="AA258" s="262">
        <v>5669</v>
      </c>
      <c r="AB258" s="272">
        <v>160387.50814872194</v>
      </c>
    </row>
    <row r="259" spans="1:28" ht="15.75" customHeight="1">
      <c r="A259" s="113" t="s">
        <v>151</v>
      </c>
      <c r="B259" s="105" t="s">
        <v>157</v>
      </c>
      <c r="C259" s="255">
        <v>6425</v>
      </c>
      <c r="D259" s="256">
        <v>35</v>
      </c>
      <c r="E259" s="256">
        <v>892</v>
      </c>
      <c r="F259" s="256">
        <v>245</v>
      </c>
      <c r="G259" s="256">
        <v>7385</v>
      </c>
      <c r="H259" s="256">
        <v>7544</v>
      </c>
      <c r="I259" s="256">
        <v>24111</v>
      </c>
      <c r="J259" s="256">
        <v>12766</v>
      </c>
      <c r="K259" s="256">
        <v>16252</v>
      </c>
      <c r="L259" s="256">
        <v>14230</v>
      </c>
      <c r="M259" s="256">
        <v>1878</v>
      </c>
      <c r="N259" s="256">
        <v>2715</v>
      </c>
      <c r="O259" s="256">
        <v>17377</v>
      </c>
      <c r="P259" s="256">
        <v>16524</v>
      </c>
      <c r="Q259" s="256">
        <v>19906</v>
      </c>
      <c r="R259" s="256">
        <v>11373</v>
      </c>
      <c r="S259" s="256">
        <v>13771</v>
      </c>
      <c r="T259" s="256">
        <v>9427</v>
      </c>
      <c r="U259" s="256">
        <v>182856</v>
      </c>
      <c r="V259" s="257">
        <v>-724</v>
      </c>
      <c r="W259" s="258">
        <v>182132</v>
      </c>
      <c r="X259" s="256">
        <v>7352</v>
      </c>
      <c r="Y259" s="256">
        <v>31741</v>
      </c>
      <c r="Z259" s="257">
        <v>143763</v>
      </c>
      <c r="AA259" s="263">
        <v>5730</v>
      </c>
      <c r="AB259" s="273">
        <v>182341.19813124224</v>
      </c>
    </row>
    <row r="260" spans="1:28" ht="15.75" customHeight="1">
      <c r="A260" s="222" t="s">
        <v>293</v>
      </c>
      <c r="B260" s="25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</row>
    <row r="261" spans="1:28" ht="15.75" customHeight="1">
      <c r="A261" s="222" t="s">
        <v>292</v>
      </c>
    </row>
    <row r="262" spans="1:28" ht="13.5" customHeight="1">
      <c r="A262" s="55">
        <f>A210+1</f>
        <v>28</v>
      </c>
      <c r="B262" s="50" t="str">
        <f>IF(A262&lt;22,"令和"&amp;A262&amp;"年度","平成"&amp;A262&amp;"年度")</f>
        <v>平成28年度</v>
      </c>
      <c r="C262" s="4" t="s">
        <v>75</v>
      </c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1"/>
      <c r="Y262" s="2"/>
      <c r="Z262" s="57"/>
      <c r="AA262" s="57"/>
      <c r="AB262" s="57"/>
    </row>
    <row r="263" spans="1:28" ht="45" customHeight="1">
      <c r="A263" s="186"/>
      <c r="B263" s="76"/>
      <c r="C263" s="77" t="s">
        <v>51</v>
      </c>
      <c r="D263" s="77" t="s">
        <v>52</v>
      </c>
      <c r="E263" s="77" t="s">
        <v>53</v>
      </c>
      <c r="F263" s="77" t="s">
        <v>54</v>
      </c>
      <c r="G263" s="77" t="s">
        <v>55</v>
      </c>
      <c r="H263" s="77" t="s">
        <v>56</v>
      </c>
      <c r="I263" s="77" t="s">
        <v>57</v>
      </c>
      <c r="J263" s="77" t="s">
        <v>58</v>
      </c>
      <c r="K263" s="77" t="s">
        <v>59</v>
      </c>
      <c r="L263" s="77" t="s">
        <v>60</v>
      </c>
      <c r="M263" s="77" t="s">
        <v>61</v>
      </c>
      <c r="N263" s="77" t="s">
        <v>62</v>
      </c>
      <c r="O263" s="77" t="s">
        <v>63</v>
      </c>
      <c r="P263" s="77" t="s">
        <v>64</v>
      </c>
      <c r="Q263" s="77" t="s">
        <v>65</v>
      </c>
      <c r="R263" s="77" t="s">
        <v>66</v>
      </c>
      <c r="S263" s="77" t="s">
        <v>67</v>
      </c>
      <c r="T263" s="77" t="s">
        <v>68</v>
      </c>
      <c r="U263" s="77" t="s">
        <v>70</v>
      </c>
      <c r="V263" s="78" t="s">
        <v>69</v>
      </c>
      <c r="W263" s="79" t="s">
        <v>71</v>
      </c>
      <c r="X263" s="77" t="s">
        <v>72</v>
      </c>
      <c r="Y263" s="77" t="s">
        <v>73</v>
      </c>
      <c r="Z263" s="77" t="s">
        <v>74</v>
      </c>
      <c r="AA263" s="259" t="s">
        <v>277</v>
      </c>
      <c r="AB263" s="269" t="s">
        <v>278</v>
      </c>
    </row>
    <row r="264" spans="1:28" ht="13.5" customHeight="1">
      <c r="A264" s="153" t="s">
        <v>160</v>
      </c>
      <c r="B264" s="22" t="s">
        <v>0</v>
      </c>
      <c r="C264" s="243">
        <v>66520</v>
      </c>
      <c r="D264" s="244">
        <v>354</v>
      </c>
      <c r="E264" s="244">
        <v>10808</v>
      </c>
      <c r="F264" s="244">
        <v>6137</v>
      </c>
      <c r="G264" s="244">
        <v>192248</v>
      </c>
      <c r="H264" s="244">
        <v>167874</v>
      </c>
      <c r="I264" s="244">
        <v>410145</v>
      </c>
      <c r="J264" s="244">
        <v>412091</v>
      </c>
      <c r="K264" s="244">
        <v>282397</v>
      </c>
      <c r="L264" s="244">
        <v>194779</v>
      </c>
      <c r="M264" s="244">
        <v>205916</v>
      </c>
      <c r="N264" s="244">
        <v>138298</v>
      </c>
      <c r="O264" s="244">
        <v>487476</v>
      </c>
      <c r="P264" s="244">
        <v>442960</v>
      </c>
      <c r="Q264" s="244">
        <v>391565</v>
      </c>
      <c r="R264" s="244">
        <v>227388</v>
      </c>
      <c r="S264" s="244">
        <v>496878</v>
      </c>
      <c r="T264" s="244">
        <v>233638</v>
      </c>
      <c r="U264" s="244">
        <v>4367472</v>
      </c>
      <c r="V264" s="245">
        <v>-23388</v>
      </c>
      <c r="W264" s="246">
        <v>4344084</v>
      </c>
      <c r="X264" s="244">
        <v>77682</v>
      </c>
      <c r="Y264" s="244">
        <v>608530</v>
      </c>
      <c r="Z264" s="245">
        <v>3681260</v>
      </c>
      <c r="AA264" s="260">
        <v>6191</v>
      </c>
      <c r="AB264" s="270">
        <v>4304811</v>
      </c>
    </row>
    <row r="265" spans="1:28" ht="13.5" customHeight="1">
      <c r="A265" s="16" t="s">
        <v>1</v>
      </c>
      <c r="B265" s="17" t="s">
        <v>2</v>
      </c>
      <c r="C265" s="247">
        <v>320</v>
      </c>
      <c r="D265" s="248">
        <v>35</v>
      </c>
      <c r="E265" s="248">
        <v>2263</v>
      </c>
      <c r="F265" s="248">
        <v>413</v>
      </c>
      <c r="G265" s="248">
        <v>9875</v>
      </c>
      <c r="H265" s="248">
        <v>31859</v>
      </c>
      <c r="I265" s="248">
        <v>101960</v>
      </c>
      <c r="J265" s="248">
        <v>120412</v>
      </c>
      <c r="K265" s="248">
        <v>151976</v>
      </c>
      <c r="L265" s="248">
        <v>58402</v>
      </c>
      <c r="M265" s="248">
        <v>108837</v>
      </c>
      <c r="N265" s="248">
        <v>84030</v>
      </c>
      <c r="O265" s="248">
        <v>133522</v>
      </c>
      <c r="P265" s="248">
        <v>187600</v>
      </c>
      <c r="Q265" s="248">
        <v>191886</v>
      </c>
      <c r="R265" s="248">
        <v>38196</v>
      </c>
      <c r="S265" s="248">
        <v>111251</v>
      </c>
      <c r="T265" s="248">
        <v>59088</v>
      </c>
      <c r="U265" s="248">
        <v>1391925</v>
      </c>
      <c r="V265" s="249">
        <v>-7456</v>
      </c>
      <c r="W265" s="250">
        <v>1384469</v>
      </c>
      <c r="X265" s="248">
        <v>2618</v>
      </c>
      <c r="Y265" s="248">
        <v>112248</v>
      </c>
      <c r="Z265" s="249">
        <v>1277059</v>
      </c>
      <c r="AA265" s="261">
        <v>7513</v>
      </c>
      <c r="AB265" s="271">
        <v>1374665.9967370799</v>
      </c>
    </row>
    <row r="266" spans="1:28" ht="13.5" customHeight="1">
      <c r="A266" s="18" t="s">
        <v>3</v>
      </c>
      <c r="B266" s="19" t="s">
        <v>4</v>
      </c>
      <c r="C266" s="251">
        <v>134</v>
      </c>
      <c r="D266" s="252">
        <v>0</v>
      </c>
      <c r="E266" s="252">
        <v>181</v>
      </c>
      <c r="F266" s="252">
        <v>516</v>
      </c>
      <c r="G266" s="252">
        <v>2712</v>
      </c>
      <c r="H266" s="252">
        <v>6643</v>
      </c>
      <c r="I266" s="252">
        <v>20117</v>
      </c>
      <c r="J266" s="252">
        <v>24169</v>
      </c>
      <c r="K266" s="252">
        <v>5744</v>
      </c>
      <c r="L266" s="252">
        <v>8659</v>
      </c>
      <c r="M266" s="252">
        <v>16082</v>
      </c>
      <c r="N266" s="252">
        <v>4478</v>
      </c>
      <c r="O266" s="252">
        <v>32997</v>
      </c>
      <c r="P266" s="252">
        <v>19890</v>
      </c>
      <c r="Q266" s="252">
        <v>8317</v>
      </c>
      <c r="R266" s="252">
        <v>14000</v>
      </c>
      <c r="S266" s="252">
        <v>20405</v>
      </c>
      <c r="T266" s="252">
        <v>13487</v>
      </c>
      <c r="U266" s="252">
        <v>198531</v>
      </c>
      <c r="V266" s="253">
        <v>-1063</v>
      </c>
      <c r="W266" s="254">
        <v>197468</v>
      </c>
      <c r="X266" s="252">
        <v>315</v>
      </c>
      <c r="Y266" s="252">
        <v>23345</v>
      </c>
      <c r="Z266" s="253">
        <v>174871</v>
      </c>
      <c r="AA266" s="262">
        <v>5475</v>
      </c>
      <c r="AB266" s="272">
        <v>196196.96369284717</v>
      </c>
    </row>
    <row r="267" spans="1:28" ht="13.5" customHeight="1">
      <c r="A267" s="18" t="s">
        <v>5</v>
      </c>
      <c r="B267" s="19" t="s">
        <v>6</v>
      </c>
      <c r="C267" s="251">
        <v>6995</v>
      </c>
      <c r="D267" s="252">
        <v>25</v>
      </c>
      <c r="E267" s="252">
        <v>690</v>
      </c>
      <c r="F267" s="252">
        <v>239</v>
      </c>
      <c r="G267" s="252">
        <v>5894</v>
      </c>
      <c r="H267" s="252">
        <v>6857</v>
      </c>
      <c r="I267" s="252">
        <v>14427</v>
      </c>
      <c r="J267" s="252">
        <v>12251</v>
      </c>
      <c r="K267" s="252">
        <v>15181</v>
      </c>
      <c r="L267" s="252">
        <v>12026</v>
      </c>
      <c r="M267" s="252">
        <v>2212</v>
      </c>
      <c r="N267" s="252">
        <v>2684</v>
      </c>
      <c r="O267" s="252">
        <v>15785</v>
      </c>
      <c r="P267" s="252">
        <v>16967</v>
      </c>
      <c r="Q267" s="252">
        <v>18840</v>
      </c>
      <c r="R267" s="252">
        <v>8841</v>
      </c>
      <c r="S267" s="252">
        <v>13498</v>
      </c>
      <c r="T267" s="252">
        <v>7553</v>
      </c>
      <c r="U267" s="252">
        <v>160965</v>
      </c>
      <c r="V267" s="253">
        <v>-862</v>
      </c>
      <c r="W267" s="254">
        <v>160103</v>
      </c>
      <c r="X267" s="252">
        <v>7710</v>
      </c>
      <c r="Y267" s="252">
        <v>20560</v>
      </c>
      <c r="Z267" s="253">
        <v>132695</v>
      </c>
      <c r="AA267" s="262">
        <v>5919</v>
      </c>
      <c r="AB267" s="272">
        <v>157673.03922027993</v>
      </c>
    </row>
    <row r="268" spans="1:28" ht="13.5" customHeight="1">
      <c r="A268" s="18" t="s">
        <v>7</v>
      </c>
      <c r="B268" s="19" t="s">
        <v>8</v>
      </c>
      <c r="C268" s="251">
        <v>34</v>
      </c>
      <c r="D268" s="252">
        <v>2</v>
      </c>
      <c r="E268" s="252">
        <v>218</v>
      </c>
      <c r="F268" s="252">
        <v>136</v>
      </c>
      <c r="G268" s="252">
        <v>20850</v>
      </c>
      <c r="H268" s="252">
        <v>15238</v>
      </c>
      <c r="I268" s="252">
        <v>25302</v>
      </c>
      <c r="J268" s="252">
        <v>77484</v>
      </c>
      <c r="K268" s="252">
        <v>22066</v>
      </c>
      <c r="L268" s="252">
        <v>8251</v>
      </c>
      <c r="M268" s="252">
        <v>40630</v>
      </c>
      <c r="N268" s="252">
        <v>9996</v>
      </c>
      <c r="O268" s="252">
        <v>37209</v>
      </c>
      <c r="P268" s="252">
        <v>51121</v>
      </c>
      <c r="Q268" s="252">
        <v>13426</v>
      </c>
      <c r="R268" s="252">
        <v>16910</v>
      </c>
      <c r="S268" s="252">
        <v>39258</v>
      </c>
      <c r="T268" s="252">
        <v>17979</v>
      </c>
      <c r="U268" s="252">
        <v>396110</v>
      </c>
      <c r="V268" s="253">
        <v>-2121</v>
      </c>
      <c r="W268" s="254">
        <v>393989</v>
      </c>
      <c r="X268" s="252">
        <v>254</v>
      </c>
      <c r="Y268" s="252">
        <v>46288</v>
      </c>
      <c r="Z268" s="253">
        <v>349568</v>
      </c>
      <c r="AA268" s="262">
        <v>6798</v>
      </c>
      <c r="AB268" s="272">
        <v>391777.96958193544</v>
      </c>
    </row>
    <row r="269" spans="1:28" ht="13.5" customHeight="1">
      <c r="A269" s="16" t="s">
        <v>9</v>
      </c>
      <c r="B269" s="17" t="s">
        <v>10</v>
      </c>
      <c r="C269" s="251">
        <v>3685</v>
      </c>
      <c r="D269" s="252">
        <v>80</v>
      </c>
      <c r="E269" s="252">
        <v>445</v>
      </c>
      <c r="F269" s="252">
        <v>1212</v>
      </c>
      <c r="G269" s="252">
        <v>16710</v>
      </c>
      <c r="H269" s="252">
        <v>7226</v>
      </c>
      <c r="I269" s="252">
        <v>15684</v>
      </c>
      <c r="J269" s="252">
        <v>16061</v>
      </c>
      <c r="K269" s="252">
        <v>5729</v>
      </c>
      <c r="L269" s="252">
        <v>12555</v>
      </c>
      <c r="M269" s="252">
        <v>2726</v>
      </c>
      <c r="N269" s="252">
        <v>4433</v>
      </c>
      <c r="O269" s="252">
        <v>19142</v>
      </c>
      <c r="P269" s="252">
        <v>13998</v>
      </c>
      <c r="Q269" s="252">
        <v>13371</v>
      </c>
      <c r="R269" s="252">
        <v>14516</v>
      </c>
      <c r="S269" s="252">
        <v>31488</v>
      </c>
      <c r="T269" s="252">
        <v>9339</v>
      </c>
      <c r="U269" s="252">
        <v>188400</v>
      </c>
      <c r="V269" s="253">
        <v>-1009</v>
      </c>
      <c r="W269" s="254">
        <v>187391</v>
      </c>
      <c r="X269" s="252">
        <v>4210</v>
      </c>
      <c r="Y269" s="252">
        <v>33606</v>
      </c>
      <c r="Z269" s="253">
        <v>150584</v>
      </c>
      <c r="AA269" s="262">
        <v>5603</v>
      </c>
      <c r="AB269" s="272">
        <v>185483.17346500262</v>
      </c>
    </row>
    <row r="270" spans="1:28" ht="13.5" customHeight="1">
      <c r="A270" s="18" t="s">
        <v>11</v>
      </c>
      <c r="B270" s="19" t="s">
        <v>12</v>
      </c>
      <c r="C270" s="251">
        <v>4762</v>
      </c>
      <c r="D270" s="252">
        <v>1</v>
      </c>
      <c r="E270" s="252">
        <v>587</v>
      </c>
      <c r="F270" s="252">
        <v>745</v>
      </c>
      <c r="G270" s="252">
        <v>20860</v>
      </c>
      <c r="H270" s="252">
        <v>3576</v>
      </c>
      <c r="I270" s="252">
        <v>14004</v>
      </c>
      <c r="J270" s="252">
        <v>11282</v>
      </c>
      <c r="K270" s="252">
        <v>6599</v>
      </c>
      <c r="L270" s="252">
        <v>5762</v>
      </c>
      <c r="M270" s="252">
        <v>945</v>
      </c>
      <c r="N270" s="252">
        <v>1803</v>
      </c>
      <c r="O270" s="252">
        <v>16482</v>
      </c>
      <c r="P270" s="252">
        <v>4923</v>
      </c>
      <c r="Q270" s="252">
        <v>7761</v>
      </c>
      <c r="R270" s="252">
        <v>8398</v>
      </c>
      <c r="S270" s="252">
        <v>20841</v>
      </c>
      <c r="T270" s="252">
        <v>8889</v>
      </c>
      <c r="U270" s="252">
        <v>138220</v>
      </c>
      <c r="V270" s="253">
        <v>-740</v>
      </c>
      <c r="W270" s="254">
        <v>137480</v>
      </c>
      <c r="X270" s="252">
        <v>5350</v>
      </c>
      <c r="Y270" s="252">
        <v>35609</v>
      </c>
      <c r="Z270" s="253">
        <v>97261</v>
      </c>
      <c r="AA270" s="262">
        <v>4868</v>
      </c>
      <c r="AB270" s="272">
        <v>135725.99528736444</v>
      </c>
    </row>
    <row r="271" spans="1:28" ht="13.5" customHeight="1">
      <c r="A271" s="18" t="s">
        <v>13</v>
      </c>
      <c r="B271" s="19" t="s">
        <v>14</v>
      </c>
      <c r="C271" s="251">
        <v>1436</v>
      </c>
      <c r="D271" s="252">
        <v>2</v>
      </c>
      <c r="E271" s="252">
        <v>220</v>
      </c>
      <c r="F271" s="252">
        <v>141</v>
      </c>
      <c r="G271" s="252">
        <v>12163</v>
      </c>
      <c r="H271" s="252">
        <v>8805</v>
      </c>
      <c r="I271" s="252">
        <v>31898</v>
      </c>
      <c r="J271" s="252">
        <v>24336</v>
      </c>
      <c r="K271" s="252">
        <v>10379</v>
      </c>
      <c r="L271" s="252">
        <v>13910</v>
      </c>
      <c r="M271" s="252">
        <v>3623</v>
      </c>
      <c r="N271" s="252">
        <v>9487</v>
      </c>
      <c r="O271" s="252">
        <v>45432</v>
      </c>
      <c r="P271" s="252">
        <v>33386</v>
      </c>
      <c r="Q271" s="252">
        <v>26533</v>
      </c>
      <c r="R271" s="252">
        <v>19382</v>
      </c>
      <c r="S271" s="252">
        <v>57670</v>
      </c>
      <c r="T271" s="252">
        <v>21058</v>
      </c>
      <c r="U271" s="252">
        <v>319861</v>
      </c>
      <c r="V271" s="253">
        <v>-1712</v>
      </c>
      <c r="W271" s="254">
        <v>318149</v>
      </c>
      <c r="X271" s="252">
        <v>1658</v>
      </c>
      <c r="Y271" s="252">
        <v>44202</v>
      </c>
      <c r="Z271" s="253">
        <v>274001</v>
      </c>
      <c r="AA271" s="262">
        <v>5886</v>
      </c>
      <c r="AB271" s="272">
        <v>315934.82366072026</v>
      </c>
    </row>
    <row r="272" spans="1:28" ht="13.5" customHeight="1">
      <c r="A272" s="18" t="s">
        <v>15</v>
      </c>
      <c r="B272" s="19" t="s">
        <v>45</v>
      </c>
      <c r="C272" s="251">
        <v>1829</v>
      </c>
      <c r="D272" s="252">
        <v>3</v>
      </c>
      <c r="E272" s="252">
        <v>346</v>
      </c>
      <c r="F272" s="252">
        <v>113</v>
      </c>
      <c r="G272" s="252">
        <v>6089</v>
      </c>
      <c r="H272" s="252">
        <v>3787</v>
      </c>
      <c r="I272" s="252">
        <v>17363</v>
      </c>
      <c r="J272" s="252">
        <v>16103</v>
      </c>
      <c r="K272" s="252">
        <v>13066</v>
      </c>
      <c r="L272" s="252">
        <v>3792</v>
      </c>
      <c r="M272" s="252">
        <v>3026</v>
      </c>
      <c r="N272" s="252">
        <v>1932</v>
      </c>
      <c r="O272" s="252">
        <v>19347</v>
      </c>
      <c r="P272" s="252">
        <v>24403</v>
      </c>
      <c r="Q272" s="252">
        <v>5978</v>
      </c>
      <c r="R272" s="252">
        <v>7114</v>
      </c>
      <c r="S272" s="252">
        <v>25086</v>
      </c>
      <c r="T272" s="252">
        <v>7303</v>
      </c>
      <c r="U272" s="252">
        <v>156680</v>
      </c>
      <c r="V272" s="253">
        <v>-839</v>
      </c>
      <c r="W272" s="254">
        <v>155841</v>
      </c>
      <c r="X272" s="252">
        <v>2178</v>
      </c>
      <c r="Y272" s="252">
        <v>23565</v>
      </c>
      <c r="Z272" s="253">
        <v>130937</v>
      </c>
      <c r="AA272" s="262">
        <v>6175</v>
      </c>
      <c r="AB272" s="272">
        <v>154319.78373714982</v>
      </c>
    </row>
    <row r="273" spans="1:28" ht="13.5" customHeight="1">
      <c r="A273" s="18" t="s">
        <v>16</v>
      </c>
      <c r="B273" s="19" t="s">
        <v>46</v>
      </c>
      <c r="C273" s="251">
        <v>3118</v>
      </c>
      <c r="D273" s="252">
        <v>0</v>
      </c>
      <c r="E273" s="252">
        <v>816</v>
      </c>
      <c r="F273" s="252">
        <v>305</v>
      </c>
      <c r="G273" s="252">
        <v>24548</v>
      </c>
      <c r="H273" s="252">
        <v>24361</v>
      </c>
      <c r="I273" s="252">
        <v>25820</v>
      </c>
      <c r="J273" s="252">
        <v>23123</v>
      </c>
      <c r="K273" s="252">
        <v>9689</v>
      </c>
      <c r="L273" s="252">
        <v>7977</v>
      </c>
      <c r="M273" s="252">
        <v>18910</v>
      </c>
      <c r="N273" s="252">
        <v>4700</v>
      </c>
      <c r="O273" s="252">
        <v>38411</v>
      </c>
      <c r="P273" s="252">
        <v>35681</v>
      </c>
      <c r="Q273" s="252">
        <v>19255</v>
      </c>
      <c r="R273" s="252">
        <v>14951</v>
      </c>
      <c r="S273" s="252">
        <v>32421</v>
      </c>
      <c r="T273" s="252">
        <v>16691</v>
      </c>
      <c r="U273" s="252">
        <v>300777</v>
      </c>
      <c r="V273" s="253">
        <v>-1611</v>
      </c>
      <c r="W273" s="254">
        <v>299166</v>
      </c>
      <c r="X273" s="252">
        <v>3934</v>
      </c>
      <c r="Y273" s="252">
        <v>50673</v>
      </c>
      <c r="Z273" s="253">
        <v>246170</v>
      </c>
      <c r="AA273" s="262">
        <v>6551</v>
      </c>
      <c r="AB273" s="272">
        <v>297208.49924737966</v>
      </c>
    </row>
    <row r="274" spans="1:28" ht="13.5" customHeight="1">
      <c r="A274" s="18">
        <v>10</v>
      </c>
      <c r="B274" s="19" t="s">
        <v>47</v>
      </c>
      <c r="C274" s="251">
        <v>11500</v>
      </c>
      <c r="D274" s="252">
        <v>45</v>
      </c>
      <c r="E274" s="252">
        <v>736</v>
      </c>
      <c r="F274" s="252">
        <v>267</v>
      </c>
      <c r="G274" s="252">
        <v>11101</v>
      </c>
      <c r="H274" s="252">
        <v>6496</v>
      </c>
      <c r="I274" s="252">
        <v>19346</v>
      </c>
      <c r="J274" s="252">
        <v>18811</v>
      </c>
      <c r="K274" s="252">
        <v>8976</v>
      </c>
      <c r="L274" s="252">
        <v>8045</v>
      </c>
      <c r="M274" s="252">
        <v>1822</v>
      </c>
      <c r="N274" s="252">
        <v>2202</v>
      </c>
      <c r="O274" s="252">
        <v>14512</v>
      </c>
      <c r="P274" s="252">
        <v>12863</v>
      </c>
      <c r="Q274" s="252">
        <v>16727</v>
      </c>
      <c r="R274" s="252">
        <v>10015</v>
      </c>
      <c r="S274" s="252">
        <v>20714</v>
      </c>
      <c r="T274" s="252">
        <v>6826</v>
      </c>
      <c r="U274" s="252">
        <v>171004</v>
      </c>
      <c r="V274" s="253">
        <v>-916</v>
      </c>
      <c r="W274" s="254">
        <v>170088</v>
      </c>
      <c r="X274" s="252">
        <v>12281</v>
      </c>
      <c r="Y274" s="252">
        <v>30714</v>
      </c>
      <c r="Z274" s="253">
        <v>128009</v>
      </c>
      <c r="AA274" s="262">
        <v>5936</v>
      </c>
      <c r="AB274" s="272">
        <v>167205.5212103232</v>
      </c>
    </row>
    <row r="275" spans="1:28" ht="13.5" customHeight="1">
      <c r="A275" s="20">
        <v>11</v>
      </c>
      <c r="B275" s="21" t="s">
        <v>48</v>
      </c>
      <c r="C275" s="255">
        <v>3469</v>
      </c>
      <c r="D275" s="256">
        <v>3</v>
      </c>
      <c r="E275" s="256">
        <v>654</v>
      </c>
      <c r="F275" s="256">
        <v>80</v>
      </c>
      <c r="G275" s="256">
        <v>7978</v>
      </c>
      <c r="H275" s="256">
        <v>3191</v>
      </c>
      <c r="I275" s="256">
        <v>12973</v>
      </c>
      <c r="J275" s="256">
        <v>4266</v>
      </c>
      <c r="K275" s="256">
        <v>4010</v>
      </c>
      <c r="L275" s="256">
        <v>2005</v>
      </c>
      <c r="M275" s="256">
        <v>1292</v>
      </c>
      <c r="N275" s="256">
        <v>532</v>
      </c>
      <c r="O275" s="256">
        <v>11598</v>
      </c>
      <c r="P275" s="256">
        <v>2257</v>
      </c>
      <c r="Q275" s="256">
        <v>9117</v>
      </c>
      <c r="R275" s="256">
        <v>3253</v>
      </c>
      <c r="S275" s="256">
        <v>9278</v>
      </c>
      <c r="T275" s="256">
        <v>5111</v>
      </c>
      <c r="U275" s="256">
        <v>81067</v>
      </c>
      <c r="V275" s="257">
        <v>-434</v>
      </c>
      <c r="W275" s="258">
        <v>80633</v>
      </c>
      <c r="X275" s="256">
        <v>4126</v>
      </c>
      <c r="Y275" s="256">
        <v>21031</v>
      </c>
      <c r="Z275" s="257">
        <v>55910</v>
      </c>
      <c r="AA275" s="263">
        <v>5005</v>
      </c>
      <c r="AB275" s="273">
        <v>79593.159511234437</v>
      </c>
    </row>
    <row r="276" spans="1:28" ht="13.5" customHeight="1">
      <c r="A276" s="18">
        <v>12</v>
      </c>
      <c r="B276" s="19" t="s">
        <v>17</v>
      </c>
      <c r="C276" s="247">
        <v>2138</v>
      </c>
      <c r="D276" s="248">
        <v>89</v>
      </c>
      <c r="E276" s="248">
        <v>71</v>
      </c>
      <c r="F276" s="248">
        <v>211</v>
      </c>
      <c r="G276" s="248">
        <v>109</v>
      </c>
      <c r="H276" s="248">
        <v>447</v>
      </c>
      <c r="I276" s="248">
        <v>1553</v>
      </c>
      <c r="J276" s="248">
        <v>472</v>
      </c>
      <c r="K276" s="248">
        <v>150</v>
      </c>
      <c r="L276" s="248">
        <v>1791</v>
      </c>
      <c r="M276" s="248">
        <v>0</v>
      </c>
      <c r="N276" s="248">
        <v>127</v>
      </c>
      <c r="O276" s="248">
        <v>1076</v>
      </c>
      <c r="P276" s="248">
        <v>209</v>
      </c>
      <c r="Q276" s="248">
        <v>1376</v>
      </c>
      <c r="R276" s="248">
        <v>950</v>
      </c>
      <c r="S276" s="248">
        <v>862</v>
      </c>
      <c r="T276" s="248">
        <v>575</v>
      </c>
      <c r="U276" s="248">
        <v>12206</v>
      </c>
      <c r="V276" s="249">
        <v>-66</v>
      </c>
      <c r="W276" s="250">
        <v>12140</v>
      </c>
      <c r="X276" s="248">
        <v>2298</v>
      </c>
      <c r="Y276" s="248">
        <v>1873</v>
      </c>
      <c r="Z276" s="249">
        <v>8035</v>
      </c>
      <c r="AA276" s="261">
        <v>4097</v>
      </c>
      <c r="AB276" s="271">
        <v>11743.481444774881</v>
      </c>
    </row>
    <row r="277" spans="1:28" ht="13.5" customHeight="1">
      <c r="A277" s="18">
        <v>13</v>
      </c>
      <c r="B277" s="19" t="s">
        <v>18</v>
      </c>
      <c r="C277" s="251">
        <v>1786</v>
      </c>
      <c r="D277" s="252">
        <v>7</v>
      </c>
      <c r="E277" s="252">
        <v>245</v>
      </c>
      <c r="F277" s="252">
        <v>0</v>
      </c>
      <c r="G277" s="252">
        <v>233</v>
      </c>
      <c r="H277" s="252">
        <v>241</v>
      </c>
      <c r="I277" s="252">
        <v>1094</v>
      </c>
      <c r="J277" s="252">
        <v>187</v>
      </c>
      <c r="K277" s="252">
        <v>409</v>
      </c>
      <c r="L277" s="252">
        <v>89</v>
      </c>
      <c r="M277" s="252">
        <v>0</v>
      </c>
      <c r="N277" s="252">
        <v>3</v>
      </c>
      <c r="O277" s="252">
        <v>728</v>
      </c>
      <c r="P277" s="252">
        <v>238</v>
      </c>
      <c r="Q277" s="252">
        <v>784</v>
      </c>
      <c r="R277" s="252">
        <v>650</v>
      </c>
      <c r="S277" s="252">
        <v>886</v>
      </c>
      <c r="T277" s="252">
        <v>275</v>
      </c>
      <c r="U277" s="252">
        <v>7855</v>
      </c>
      <c r="V277" s="253">
        <v>-42</v>
      </c>
      <c r="W277" s="254">
        <v>7813</v>
      </c>
      <c r="X277" s="252">
        <v>2038</v>
      </c>
      <c r="Y277" s="252">
        <v>1327</v>
      </c>
      <c r="Z277" s="253">
        <v>4490</v>
      </c>
      <c r="AA277" s="262">
        <v>4409</v>
      </c>
      <c r="AB277" s="272">
        <v>7502.3273108297535</v>
      </c>
    </row>
    <row r="278" spans="1:28" ht="13.5" customHeight="1">
      <c r="A278" s="18">
        <v>14</v>
      </c>
      <c r="B278" s="19" t="s">
        <v>19</v>
      </c>
      <c r="C278" s="251">
        <v>876</v>
      </c>
      <c r="D278" s="252">
        <v>5</v>
      </c>
      <c r="E278" s="252">
        <v>34</v>
      </c>
      <c r="F278" s="252">
        <v>0</v>
      </c>
      <c r="G278" s="252">
        <v>404</v>
      </c>
      <c r="H278" s="252">
        <v>46</v>
      </c>
      <c r="I278" s="252">
        <v>1234</v>
      </c>
      <c r="J278" s="252">
        <v>105</v>
      </c>
      <c r="K278" s="252">
        <v>142</v>
      </c>
      <c r="L278" s="252">
        <v>274</v>
      </c>
      <c r="M278" s="252">
        <v>0</v>
      </c>
      <c r="N278" s="252">
        <v>3</v>
      </c>
      <c r="O278" s="252">
        <v>348</v>
      </c>
      <c r="P278" s="252">
        <v>1430</v>
      </c>
      <c r="Q278" s="252">
        <v>692</v>
      </c>
      <c r="R278" s="252">
        <v>651</v>
      </c>
      <c r="S278" s="252">
        <v>303</v>
      </c>
      <c r="T278" s="252">
        <v>241</v>
      </c>
      <c r="U278" s="252">
        <v>6788</v>
      </c>
      <c r="V278" s="253">
        <v>-36</v>
      </c>
      <c r="W278" s="254">
        <v>6752</v>
      </c>
      <c r="X278" s="252">
        <v>915</v>
      </c>
      <c r="Y278" s="252">
        <v>1638</v>
      </c>
      <c r="Z278" s="253">
        <v>4235</v>
      </c>
      <c r="AA278" s="262">
        <v>5359</v>
      </c>
      <c r="AB278" s="272">
        <v>6587.2065804297217</v>
      </c>
    </row>
    <row r="279" spans="1:28" ht="13.5" customHeight="1">
      <c r="A279" s="18">
        <v>15</v>
      </c>
      <c r="B279" s="19" t="s">
        <v>20</v>
      </c>
      <c r="C279" s="251">
        <v>2404</v>
      </c>
      <c r="D279" s="252">
        <v>9</v>
      </c>
      <c r="E279" s="252">
        <v>107</v>
      </c>
      <c r="F279" s="252">
        <v>5</v>
      </c>
      <c r="G279" s="252">
        <v>761</v>
      </c>
      <c r="H279" s="252">
        <v>599</v>
      </c>
      <c r="I279" s="252">
        <v>2979</v>
      </c>
      <c r="J279" s="252">
        <v>600</v>
      </c>
      <c r="K279" s="252">
        <v>478</v>
      </c>
      <c r="L279" s="252">
        <v>1371</v>
      </c>
      <c r="M279" s="252">
        <v>0</v>
      </c>
      <c r="N279" s="252">
        <v>87</v>
      </c>
      <c r="O279" s="252">
        <v>2021</v>
      </c>
      <c r="P279" s="252">
        <v>969</v>
      </c>
      <c r="Q279" s="252">
        <v>1208</v>
      </c>
      <c r="R279" s="252">
        <v>1176</v>
      </c>
      <c r="S279" s="252">
        <v>2289</v>
      </c>
      <c r="T279" s="252">
        <v>1552</v>
      </c>
      <c r="U279" s="252">
        <v>18615</v>
      </c>
      <c r="V279" s="253">
        <v>-100</v>
      </c>
      <c r="W279" s="254">
        <v>18515</v>
      </c>
      <c r="X279" s="252">
        <v>2520</v>
      </c>
      <c r="Y279" s="252">
        <v>3745</v>
      </c>
      <c r="Z279" s="253">
        <v>12350</v>
      </c>
      <c r="AA279" s="262">
        <v>4008</v>
      </c>
      <c r="AB279" s="272">
        <v>18055.604368165306</v>
      </c>
    </row>
    <row r="280" spans="1:28" ht="13.5" customHeight="1">
      <c r="A280" s="18">
        <v>16</v>
      </c>
      <c r="B280" s="19" t="s">
        <v>21</v>
      </c>
      <c r="C280" s="251">
        <v>1560</v>
      </c>
      <c r="D280" s="252">
        <v>2</v>
      </c>
      <c r="E280" s="252">
        <v>448</v>
      </c>
      <c r="F280" s="252">
        <v>919</v>
      </c>
      <c r="G280" s="252">
        <v>774</v>
      </c>
      <c r="H280" s="252">
        <v>1091</v>
      </c>
      <c r="I280" s="252">
        <v>5935</v>
      </c>
      <c r="J280" s="252">
        <v>1738</v>
      </c>
      <c r="K280" s="252">
        <v>1344</v>
      </c>
      <c r="L280" s="252">
        <v>3658</v>
      </c>
      <c r="M280" s="252">
        <v>0</v>
      </c>
      <c r="N280" s="252">
        <v>474</v>
      </c>
      <c r="O280" s="252">
        <v>3574</v>
      </c>
      <c r="P280" s="252">
        <v>2194</v>
      </c>
      <c r="Q280" s="252">
        <v>1991</v>
      </c>
      <c r="R280" s="252">
        <v>1848</v>
      </c>
      <c r="S280" s="252">
        <v>4591</v>
      </c>
      <c r="T280" s="252">
        <v>6447</v>
      </c>
      <c r="U280" s="252">
        <v>38588</v>
      </c>
      <c r="V280" s="253">
        <v>-207</v>
      </c>
      <c r="W280" s="254">
        <v>38381</v>
      </c>
      <c r="X280" s="252">
        <v>2010</v>
      </c>
      <c r="Y280" s="252">
        <v>7628</v>
      </c>
      <c r="Z280" s="253">
        <v>28950</v>
      </c>
      <c r="AA280" s="262">
        <v>4562</v>
      </c>
      <c r="AB280" s="272">
        <v>37838.461457028403</v>
      </c>
    </row>
    <row r="281" spans="1:28" ht="13.5" customHeight="1">
      <c r="A281" s="18">
        <v>17</v>
      </c>
      <c r="B281" s="19" t="s">
        <v>22</v>
      </c>
      <c r="C281" s="251">
        <v>970</v>
      </c>
      <c r="D281" s="252">
        <v>11</v>
      </c>
      <c r="E281" s="252">
        <v>301</v>
      </c>
      <c r="F281" s="252">
        <v>80</v>
      </c>
      <c r="G281" s="252">
        <v>356</v>
      </c>
      <c r="H281" s="252">
        <v>669</v>
      </c>
      <c r="I281" s="252">
        <v>10977</v>
      </c>
      <c r="J281" s="252">
        <v>1543</v>
      </c>
      <c r="K281" s="252">
        <v>1214</v>
      </c>
      <c r="L281" s="252">
        <v>11260</v>
      </c>
      <c r="M281" s="252">
        <v>160</v>
      </c>
      <c r="N281" s="252">
        <v>131</v>
      </c>
      <c r="O281" s="252">
        <v>4620</v>
      </c>
      <c r="P281" s="252">
        <v>1932</v>
      </c>
      <c r="Q281" s="252">
        <v>3507</v>
      </c>
      <c r="R281" s="252">
        <v>7626</v>
      </c>
      <c r="S281" s="252">
        <v>1346</v>
      </c>
      <c r="T281" s="252">
        <v>3856</v>
      </c>
      <c r="U281" s="252">
        <v>50559</v>
      </c>
      <c r="V281" s="253">
        <v>-271</v>
      </c>
      <c r="W281" s="254">
        <v>50288</v>
      </c>
      <c r="X281" s="252">
        <v>1282</v>
      </c>
      <c r="Y281" s="252">
        <v>11413</v>
      </c>
      <c r="Z281" s="253">
        <v>37864</v>
      </c>
      <c r="AA281" s="262">
        <v>4879</v>
      </c>
      <c r="AB281" s="272">
        <v>49386.403997030211</v>
      </c>
    </row>
    <row r="282" spans="1:28" ht="13.5" customHeight="1">
      <c r="A282" s="18">
        <v>18</v>
      </c>
      <c r="B282" s="19" t="s">
        <v>23</v>
      </c>
      <c r="C282" s="251">
        <v>861</v>
      </c>
      <c r="D282" s="252">
        <v>3</v>
      </c>
      <c r="E282" s="252">
        <v>164</v>
      </c>
      <c r="F282" s="252">
        <v>19</v>
      </c>
      <c r="G282" s="252">
        <v>230</v>
      </c>
      <c r="H282" s="252">
        <v>531</v>
      </c>
      <c r="I282" s="252">
        <v>2088</v>
      </c>
      <c r="J282" s="252">
        <v>461</v>
      </c>
      <c r="K282" s="252">
        <v>1765</v>
      </c>
      <c r="L282" s="252">
        <v>284</v>
      </c>
      <c r="M282" s="252">
        <v>1005</v>
      </c>
      <c r="N282" s="252">
        <v>43</v>
      </c>
      <c r="O282" s="252">
        <v>1472</v>
      </c>
      <c r="P282" s="252">
        <v>1622</v>
      </c>
      <c r="Q282" s="252">
        <v>1470</v>
      </c>
      <c r="R282" s="252">
        <v>1151</v>
      </c>
      <c r="S282" s="252">
        <v>1967</v>
      </c>
      <c r="T282" s="252">
        <v>950</v>
      </c>
      <c r="U282" s="252">
        <v>16086</v>
      </c>
      <c r="V282" s="253">
        <v>-86</v>
      </c>
      <c r="W282" s="254">
        <v>16000</v>
      </c>
      <c r="X282" s="252">
        <v>1028</v>
      </c>
      <c r="Y282" s="252">
        <v>2337</v>
      </c>
      <c r="Z282" s="253">
        <v>12721</v>
      </c>
      <c r="AA282" s="262">
        <v>5527</v>
      </c>
      <c r="AB282" s="272">
        <v>15767.296933578204</v>
      </c>
    </row>
    <row r="283" spans="1:28" ht="13.5" customHeight="1">
      <c r="A283" s="18">
        <v>19</v>
      </c>
      <c r="B283" s="19" t="s">
        <v>24</v>
      </c>
      <c r="C283" s="251">
        <v>964</v>
      </c>
      <c r="D283" s="252">
        <v>0</v>
      </c>
      <c r="E283" s="252">
        <v>66</v>
      </c>
      <c r="F283" s="252">
        <v>33</v>
      </c>
      <c r="G283" s="252">
        <v>665</v>
      </c>
      <c r="H283" s="252">
        <v>9995</v>
      </c>
      <c r="I283" s="252">
        <v>4452</v>
      </c>
      <c r="J283" s="252">
        <v>1100</v>
      </c>
      <c r="K283" s="252">
        <v>2428</v>
      </c>
      <c r="L283" s="252">
        <v>928</v>
      </c>
      <c r="M283" s="252">
        <v>254</v>
      </c>
      <c r="N283" s="252">
        <v>289</v>
      </c>
      <c r="O283" s="252">
        <v>3404</v>
      </c>
      <c r="P283" s="252">
        <v>501</v>
      </c>
      <c r="Q283" s="252">
        <v>1958</v>
      </c>
      <c r="R283" s="252">
        <v>1448</v>
      </c>
      <c r="S283" s="252">
        <v>5928</v>
      </c>
      <c r="T283" s="252">
        <v>1307</v>
      </c>
      <c r="U283" s="252">
        <v>35720</v>
      </c>
      <c r="V283" s="253">
        <v>-191</v>
      </c>
      <c r="W283" s="254">
        <v>35529</v>
      </c>
      <c r="X283" s="252">
        <v>1030</v>
      </c>
      <c r="Y283" s="252">
        <v>5150</v>
      </c>
      <c r="Z283" s="253">
        <v>29540</v>
      </c>
      <c r="AA283" s="262">
        <v>6204</v>
      </c>
      <c r="AB283" s="272">
        <v>35257.715819676887</v>
      </c>
    </row>
    <row r="284" spans="1:28" ht="13.5" customHeight="1">
      <c r="A284" s="20">
        <v>20</v>
      </c>
      <c r="B284" s="21" t="s">
        <v>25</v>
      </c>
      <c r="C284" s="255">
        <v>2560</v>
      </c>
      <c r="D284" s="256">
        <v>2</v>
      </c>
      <c r="E284" s="256">
        <v>152</v>
      </c>
      <c r="F284" s="256">
        <v>9</v>
      </c>
      <c r="G284" s="256">
        <v>417</v>
      </c>
      <c r="H284" s="256">
        <v>368</v>
      </c>
      <c r="I284" s="256">
        <v>2231</v>
      </c>
      <c r="J284" s="256">
        <v>678</v>
      </c>
      <c r="K284" s="256">
        <v>550</v>
      </c>
      <c r="L284" s="256">
        <v>685</v>
      </c>
      <c r="M284" s="256">
        <v>37</v>
      </c>
      <c r="N284" s="256">
        <v>17</v>
      </c>
      <c r="O284" s="256">
        <v>1129</v>
      </c>
      <c r="P284" s="256">
        <v>365</v>
      </c>
      <c r="Q284" s="256">
        <v>1210</v>
      </c>
      <c r="R284" s="256">
        <v>593</v>
      </c>
      <c r="S284" s="256">
        <v>881</v>
      </c>
      <c r="T284" s="256">
        <v>670</v>
      </c>
      <c r="U284" s="256">
        <v>12554</v>
      </c>
      <c r="V284" s="257">
        <v>-67</v>
      </c>
      <c r="W284" s="258">
        <v>12487</v>
      </c>
      <c r="X284" s="256">
        <v>2714</v>
      </c>
      <c r="Y284" s="256">
        <v>2657</v>
      </c>
      <c r="Z284" s="257">
        <v>7183</v>
      </c>
      <c r="AA284" s="263">
        <v>4322</v>
      </c>
      <c r="AB284" s="273">
        <v>12037.819060397267</v>
      </c>
    </row>
    <row r="285" spans="1:28" ht="13.5" customHeight="1">
      <c r="A285" s="18">
        <v>21</v>
      </c>
      <c r="B285" s="19" t="s">
        <v>26</v>
      </c>
      <c r="C285" s="247">
        <v>1332</v>
      </c>
      <c r="D285" s="248">
        <v>4</v>
      </c>
      <c r="E285" s="248">
        <v>115</v>
      </c>
      <c r="F285" s="248">
        <v>145</v>
      </c>
      <c r="G285" s="248">
        <v>6915</v>
      </c>
      <c r="H285" s="248">
        <v>2117</v>
      </c>
      <c r="I285" s="248">
        <v>8338</v>
      </c>
      <c r="J285" s="248">
        <v>3725</v>
      </c>
      <c r="K285" s="248">
        <v>791</v>
      </c>
      <c r="L285" s="248">
        <v>5008</v>
      </c>
      <c r="M285" s="248">
        <v>54</v>
      </c>
      <c r="N285" s="248">
        <v>580</v>
      </c>
      <c r="O285" s="248">
        <v>13990</v>
      </c>
      <c r="P285" s="248">
        <v>2399</v>
      </c>
      <c r="Q285" s="248">
        <v>3132</v>
      </c>
      <c r="R285" s="248">
        <v>3855</v>
      </c>
      <c r="S285" s="248">
        <v>5225</v>
      </c>
      <c r="T285" s="248">
        <v>6155</v>
      </c>
      <c r="U285" s="248">
        <v>63880</v>
      </c>
      <c r="V285" s="249">
        <v>-342</v>
      </c>
      <c r="W285" s="250">
        <v>63538</v>
      </c>
      <c r="X285" s="248">
        <v>1451</v>
      </c>
      <c r="Y285" s="248">
        <v>15398</v>
      </c>
      <c r="Z285" s="249">
        <v>47031</v>
      </c>
      <c r="AA285" s="261">
        <v>4961</v>
      </c>
      <c r="AB285" s="271">
        <v>62932.35719516602</v>
      </c>
    </row>
    <row r="286" spans="1:28" ht="13.5" customHeight="1">
      <c r="A286" s="18">
        <v>22</v>
      </c>
      <c r="B286" s="19" t="s">
        <v>27</v>
      </c>
      <c r="C286" s="251">
        <v>55</v>
      </c>
      <c r="D286" s="252">
        <v>0</v>
      </c>
      <c r="E286" s="252">
        <v>5</v>
      </c>
      <c r="F286" s="252">
        <v>0</v>
      </c>
      <c r="G286" s="252">
        <v>966</v>
      </c>
      <c r="H286" s="252">
        <v>858</v>
      </c>
      <c r="I286" s="252">
        <v>3070</v>
      </c>
      <c r="J286" s="252">
        <v>1684</v>
      </c>
      <c r="K286" s="252">
        <v>459</v>
      </c>
      <c r="L286" s="252">
        <v>937</v>
      </c>
      <c r="M286" s="252">
        <v>738</v>
      </c>
      <c r="N286" s="252">
        <v>1803</v>
      </c>
      <c r="O286" s="252">
        <v>4082</v>
      </c>
      <c r="P286" s="252">
        <v>3335</v>
      </c>
      <c r="Q286" s="252">
        <v>10577</v>
      </c>
      <c r="R286" s="252">
        <v>1814</v>
      </c>
      <c r="S286" s="252">
        <v>4117</v>
      </c>
      <c r="T286" s="252">
        <v>1928</v>
      </c>
      <c r="U286" s="252">
        <v>36428</v>
      </c>
      <c r="V286" s="253">
        <v>-195</v>
      </c>
      <c r="W286" s="254">
        <v>36233</v>
      </c>
      <c r="X286" s="252">
        <v>60</v>
      </c>
      <c r="Y286" s="252">
        <v>4036</v>
      </c>
      <c r="Z286" s="253">
        <v>32332</v>
      </c>
      <c r="AA286" s="262">
        <v>4670</v>
      </c>
      <c r="AB286" s="272">
        <v>36099.835799875087</v>
      </c>
    </row>
    <row r="287" spans="1:28" ht="13.5" customHeight="1">
      <c r="A287" s="18">
        <v>23</v>
      </c>
      <c r="B287" s="19" t="s">
        <v>28</v>
      </c>
      <c r="C287" s="251">
        <v>1</v>
      </c>
      <c r="D287" s="252">
        <v>1</v>
      </c>
      <c r="E287" s="252">
        <v>82</v>
      </c>
      <c r="F287" s="252">
        <v>19</v>
      </c>
      <c r="G287" s="252">
        <v>531</v>
      </c>
      <c r="H287" s="252">
        <v>5790</v>
      </c>
      <c r="I287" s="252">
        <v>12150</v>
      </c>
      <c r="J287" s="252">
        <v>8442</v>
      </c>
      <c r="K287" s="252">
        <v>872</v>
      </c>
      <c r="L287" s="252">
        <v>7194</v>
      </c>
      <c r="M287" s="252">
        <v>1390</v>
      </c>
      <c r="N287" s="252">
        <v>2368</v>
      </c>
      <c r="O287" s="252">
        <v>14934</v>
      </c>
      <c r="P287" s="252">
        <v>8197</v>
      </c>
      <c r="Q287" s="252">
        <v>2873</v>
      </c>
      <c r="R287" s="252">
        <v>2933</v>
      </c>
      <c r="S287" s="252">
        <v>6542</v>
      </c>
      <c r="T287" s="252">
        <v>7178</v>
      </c>
      <c r="U287" s="252">
        <v>81497</v>
      </c>
      <c r="V287" s="253">
        <v>-437</v>
      </c>
      <c r="W287" s="254">
        <v>81060</v>
      </c>
      <c r="X287" s="252">
        <v>84</v>
      </c>
      <c r="Y287" s="252">
        <v>12700</v>
      </c>
      <c r="Z287" s="253">
        <v>68713</v>
      </c>
      <c r="AA287" s="262">
        <v>5703</v>
      </c>
      <c r="AB287" s="272">
        <v>80556.941408874583</v>
      </c>
    </row>
    <row r="288" spans="1:28" ht="13.5" customHeight="1">
      <c r="A288" s="18">
        <v>24</v>
      </c>
      <c r="B288" s="19" t="s">
        <v>29</v>
      </c>
      <c r="C288" s="251">
        <v>41</v>
      </c>
      <c r="D288" s="252">
        <v>0</v>
      </c>
      <c r="E288" s="252">
        <v>78</v>
      </c>
      <c r="F288" s="252">
        <v>5</v>
      </c>
      <c r="G288" s="252">
        <v>303</v>
      </c>
      <c r="H288" s="252">
        <v>977</v>
      </c>
      <c r="I288" s="252">
        <v>7460</v>
      </c>
      <c r="J288" s="252">
        <v>2517</v>
      </c>
      <c r="K288" s="252">
        <v>1334</v>
      </c>
      <c r="L288" s="252">
        <v>3996</v>
      </c>
      <c r="M288" s="252">
        <v>118</v>
      </c>
      <c r="N288" s="252">
        <v>634</v>
      </c>
      <c r="O288" s="252">
        <v>5813</v>
      </c>
      <c r="P288" s="252">
        <v>1424</v>
      </c>
      <c r="Q288" s="252">
        <v>1600</v>
      </c>
      <c r="R288" s="252">
        <v>3606</v>
      </c>
      <c r="S288" s="252">
        <v>6285</v>
      </c>
      <c r="T288" s="252">
        <v>2773</v>
      </c>
      <c r="U288" s="252">
        <v>38964</v>
      </c>
      <c r="V288" s="253">
        <v>-209</v>
      </c>
      <c r="W288" s="254">
        <v>38755</v>
      </c>
      <c r="X288" s="252">
        <v>119</v>
      </c>
      <c r="Y288" s="252">
        <v>7768</v>
      </c>
      <c r="Z288" s="253">
        <v>31077</v>
      </c>
      <c r="AA288" s="262">
        <v>5003</v>
      </c>
      <c r="AB288" s="272">
        <v>38378.29545941174</v>
      </c>
    </row>
    <row r="289" spans="1:28" ht="13.5" customHeight="1">
      <c r="A289" s="18">
        <v>25</v>
      </c>
      <c r="B289" s="19" t="s">
        <v>30</v>
      </c>
      <c r="C289" s="251">
        <v>306</v>
      </c>
      <c r="D289" s="252">
        <v>0</v>
      </c>
      <c r="E289" s="252">
        <v>22</v>
      </c>
      <c r="F289" s="252">
        <v>220</v>
      </c>
      <c r="G289" s="252">
        <v>5016</v>
      </c>
      <c r="H289" s="252">
        <v>13291</v>
      </c>
      <c r="I289" s="252">
        <v>4151</v>
      </c>
      <c r="J289" s="252">
        <v>3337</v>
      </c>
      <c r="K289" s="252">
        <v>1245</v>
      </c>
      <c r="L289" s="252">
        <v>827</v>
      </c>
      <c r="M289" s="252">
        <v>957</v>
      </c>
      <c r="N289" s="252">
        <v>436</v>
      </c>
      <c r="O289" s="252">
        <v>6587</v>
      </c>
      <c r="P289" s="252">
        <v>1880</v>
      </c>
      <c r="Q289" s="252">
        <v>1353</v>
      </c>
      <c r="R289" s="252">
        <v>1695</v>
      </c>
      <c r="S289" s="252">
        <v>9706</v>
      </c>
      <c r="T289" s="252">
        <v>3765</v>
      </c>
      <c r="U289" s="252">
        <v>54794</v>
      </c>
      <c r="V289" s="253">
        <v>-293</v>
      </c>
      <c r="W289" s="254">
        <v>54501</v>
      </c>
      <c r="X289" s="252">
        <v>328</v>
      </c>
      <c r="Y289" s="252">
        <v>9387</v>
      </c>
      <c r="Z289" s="253">
        <v>45079</v>
      </c>
      <c r="AA289" s="262">
        <v>6473</v>
      </c>
      <c r="AB289" s="272">
        <v>54288.273062282919</v>
      </c>
    </row>
    <row r="290" spans="1:28" ht="13.5" customHeight="1">
      <c r="A290" s="20">
        <v>26</v>
      </c>
      <c r="B290" s="21" t="s">
        <v>31</v>
      </c>
      <c r="C290" s="255">
        <v>277</v>
      </c>
      <c r="D290" s="256">
        <v>2</v>
      </c>
      <c r="E290" s="256">
        <v>130</v>
      </c>
      <c r="F290" s="256">
        <v>9</v>
      </c>
      <c r="G290" s="256">
        <v>20623</v>
      </c>
      <c r="H290" s="256">
        <v>5155</v>
      </c>
      <c r="I290" s="256">
        <v>7536</v>
      </c>
      <c r="J290" s="256">
        <v>13785</v>
      </c>
      <c r="K290" s="256">
        <v>5805</v>
      </c>
      <c r="L290" s="256">
        <v>1985</v>
      </c>
      <c r="M290" s="256">
        <v>480</v>
      </c>
      <c r="N290" s="256">
        <v>1492</v>
      </c>
      <c r="O290" s="256">
        <v>9098</v>
      </c>
      <c r="P290" s="256">
        <v>3588</v>
      </c>
      <c r="Q290" s="256">
        <v>2619</v>
      </c>
      <c r="R290" s="256">
        <v>20780</v>
      </c>
      <c r="S290" s="256">
        <v>16677</v>
      </c>
      <c r="T290" s="256">
        <v>5166</v>
      </c>
      <c r="U290" s="256">
        <v>115207</v>
      </c>
      <c r="V290" s="257">
        <v>-616</v>
      </c>
      <c r="W290" s="258">
        <v>114591</v>
      </c>
      <c r="X290" s="256">
        <v>409</v>
      </c>
      <c r="Y290" s="256">
        <v>28168</v>
      </c>
      <c r="Z290" s="257">
        <v>86630</v>
      </c>
      <c r="AA290" s="263">
        <v>5356</v>
      </c>
      <c r="AB290" s="273">
        <v>113611.65684477294</v>
      </c>
    </row>
    <row r="291" spans="1:28" ht="13.5" customHeight="1">
      <c r="A291" s="18">
        <v>27</v>
      </c>
      <c r="B291" s="19" t="s">
        <v>32</v>
      </c>
      <c r="C291" s="247">
        <v>195</v>
      </c>
      <c r="D291" s="248">
        <v>0</v>
      </c>
      <c r="E291" s="248">
        <v>219</v>
      </c>
      <c r="F291" s="248">
        <v>5</v>
      </c>
      <c r="G291" s="248">
        <v>598</v>
      </c>
      <c r="H291" s="248">
        <v>847</v>
      </c>
      <c r="I291" s="248">
        <v>3975</v>
      </c>
      <c r="J291" s="248">
        <v>4678</v>
      </c>
      <c r="K291" s="248">
        <v>724</v>
      </c>
      <c r="L291" s="248">
        <v>1620</v>
      </c>
      <c r="M291" s="248">
        <v>173</v>
      </c>
      <c r="N291" s="248">
        <v>1080</v>
      </c>
      <c r="O291" s="248">
        <v>6441</v>
      </c>
      <c r="P291" s="248">
        <v>1030</v>
      </c>
      <c r="Q291" s="248">
        <v>2871</v>
      </c>
      <c r="R291" s="248">
        <v>3058</v>
      </c>
      <c r="S291" s="248">
        <v>6097</v>
      </c>
      <c r="T291" s="248">
        <v>2323</v>
      </c>
      <c r="U291" s="248">
        <v>35934</v>
      </c>
      <c r="V291" s="249">
        <v>-192</v>
      </c>
      <c r="W291" s="250">
        <v>35742</v>
      </c>
      <c r="X291" s="248">
        <v>414</v>
      </c>
      <c r="Y291" s="248">
        <v>4578</v>
      </c>
      <c r="Z291" s="249">
        <v>30942</v>
      </c>
      <c r="AA291" s="261">
        <v>5175</v>
      </c>
      <c r="AB291" s="271">
        <v>35445.590537691918</v>
      </c>
    </row>
    <row r="292" spans="1:28" ht="13.5" customHeight="1">
      <c r="A292" s="18">
        <v>28</v>
      </c>
      <c r="B292" s="19" t="s">
        <v>33</v>
      </c>
      <c r="C292" s="251">
        <v>1131</v>
      </c>
      <c r="D292" s="252">
        <v>4</v>
      </c>
      <c r="E292" s="252">
        <v>0</v>
      </c>
      <c r="F292" s="252">
        <v>33</v>
      </c>
      <c r="G292" s="252">
        <v>4456</v>
      </c>
      <c r="H292" s="252">
        <v>2650</v>
      </c>
      <c r="I292" s="252">
        <v>10716</v>
      </c>
      <c r="J292" s="252">
        <v>12687</v>
      </c>
      <c r="K292" s="252">
        <v>3406</v>
      </c>
      <c r="L292" s="252">
        <v>3154</v>
      </c>
      <c r="M292" s="252">
        <v>422</v>
      </c>
      <c r="N292" s="252">
        <v>1696</v>
      </c>
      <c r="O292" s="252">
        <v>11190</v>
      </c>
      <c r="P292" s="252">
        <v>4290</v>
      </c>
      <c r="Q292" s="252">
        <v>2923</v>
      </c>
      <c r="R292" s="252">
        <v>5074</v>
      </c>
      <c r="S292" s="252">
        <v>25598</v>
      </c>
      <c r="T292" s="252">
        <v>6870</v>
      </c>
      <c r="U292" s="252">
        <v>96300</v>
      </c>
      <c r="V292" s="253">
        <v>-515</v>
      </c>
      <c r="W292" s="254">
        <v>95785</v>
      </c>
      <c r="X292" s="252">
        <v>1135</v>
      </c>
      <c r="Y292" s="252">
        <v>15205</v>
      </c>
      <c r="Z292" s="253">
        <v>79960</v>
      </c>
      <c r="AA292" s="262">
        <v>5198</v>
      </c>
      <c r="AB292" s="272">
        <v>94938.142644697669</v>
      </c>
    </row>
    <row r="293" spans="1:28" ht="13.5" customHeight="1">
      <c r="A293" s="18">
        <v>29</v>
      </c>
      <c r="B293" s="19" t="s">
        <v>34</v>
      </c>
      <c r="C293" s="251">
        <v>5</v>
      </c>
      <c r="D293" s="252">
        <v>5</v>
      </c>
      <c r="E293" s="252">
        <v>19</v>
      </c>
      <c r="F293" s="252">
        <v>0</v>
      </c>
      <c r="G293" s="252">
        <v>7</v>
      </c>
      <c r="H293" s="252">
        <v>119</v>
      </c>
      <c r="I293" s="252">
        <v>705</v>
      </c>
      <c r="J293" s="252">
        <v>29</v>
      </c>
      <c r="K293" s="252">
        <v>203</v>
      </c>
      <c r="L293" s="252">
        <v>557</v>
      </c>
      <c r="M293" s="252">
        <v>0</v>
      </c>
      <c r="N293" s="252">
        <v>5</v>
      </c>
      <c r="O293" s="252">
        <v>104</v>
      </c>
      <c r="P293" s="252">
        <v>106</v>
      </c>
      <c r="Q293" s="252">
        <v>442</v>
      </c>
      <c r="R293" s="252">
        <v>322</v>
      </c>
      <c r="S293" s="252">
        <v>171</v>
      </c>
      <c r="T293" s="252">
        <v>519</v>
      </c>
      <c r="U293" s="252">
        <v>3318</v>
      </c>
      <c r="V293" s="253">
        <v>-17</v>
      </c>
      <c r="W293" s="254">
        <v>3301</v>
      </c>
      <c r="X293" s="252">
        <v>29</v>
      </c>
      <c r="Y293" s="252">
        <v>712</v>
      </c>
      <c r="Z293" s="253">
        <v>2577</v>
      </c>
      <c r="AA293" s="262">
        <v>5672</v>
      </c>
      <c r="AB293" s="272">
        <v>3256.5183367314012</v>
      </c>
    </row>
    <row r="294" spans="1:28" ht="13.5" customHeight="1">
      <c r="A294" s="18">
        <v>30</v>
      </c>
      <c r="B294" s="19" t="s">
        <v>35</v>
      </c>
      <c r="C294" s="251">
        <v>3</v>
      </c>
      <c r="D294" s="252">
        <v>0</v>
      </c>
      <c r="E294" s="252">
        <v>33</v>
      </c>
      <c r="F294" s="252">
        <v>0</v>
      </c>
      <c r="G294" s="252">
        <v>25</v>
      </c>
      <c r="H294" s="252">
        <v>95</v>
      </c>
      <c r="I294" s="252">
        <v>384</v>
      </c>
      <c r="J294" s="252">
        <v>98</v>
      </c>
      <c r="K294" s="252">
        <v>171</v>
      </c>
      <c r="L294" s="252">
        <v>902</v>
      </c>
      <c r="M294" s="252">
        <v>0</v>
      </c>
      <c r="N294" s="252">
        <v>8</v>
      </c>
      <c r="O294" s="252">
        <v>193</v>
      </c>
      <c r="P294" s="252">
        <v>147</v>
      </c>
      <c r="Q294" s="252">
        <v>426</v>
      </c>
      <c r="R294" s="252">
        <v>479</v>
      </c>
      <c r="S294" s="252">
        <v>178</v>
      </c>
      <c r="T294" s="252">
        <v>800</v>
      </c>
      <c r="U294" s="252">
        <v>3942</v>
      </c>
      <c r="V294" s="253">
        <v>-21</v>
      </c>
      <c r="W294" s="254">
        <v>3921</v>
      </c>
      <c r="X294" s="252">
        <v>36</v>
      </c>
      <c r="Y294" s="252">
        <v>409</v>
      </c>
      <c r="Z294" s="253">
        <v>3497</v>
      </c>
      <c r="AA294" s="262">
        <v>5469</v>
      </c>
      <c r="AB294" s="272">
        <v>3860.7545934741479</v>
      </c>
    </row>
    <row r="295" spans="1:28" ht="13.5" customHeight="1">
      <c r="A295" s="18">
        <v>31</v>
      </c>
      <c r="B295" s="19" t="s">
        <v>36</v>
      </c>
      <c r="C295" s="251">
        <v>98</v>
      </c>
      <c r="D295" s="252">
        <v>0</v>
      </c>
      <c r="E295" s="252">
        <v>8</v>
      </c>
      <c r="F295" s="252">
        <v>19</v>
      </c>
      <c r="G295" s="252">
        <v>117</v>
      </c>
      <c r="H295" s="252">
        <v>85</v>
      </c>
      <c r="I295" s="252">
        <v>73</v>
      </c>
      <c r="J295" s="252">
        <v>26</v>
      </c>
      <c r="K295" s="252">
        <v>135</v>
      </c>
      <c r="L295" s="252">
        <v>107</v>
      </c>
      <c r="M295" s="252">
        <v>0</v>
      </c>
      <c r="N295" s="252">
        <v>4</v>
      </c>
      <c r="O295" s="252">
        <v>189</v>
      </c>
      <c r="P295" s="252">
        <v>0</v>
      </c>
      <c r="Q295" s="252">
        <v>423</v>
      </c>
      <c r="R295" s="252">
        <v>256</v>
      </c>
      <c r="S295" s="252">
        <v>404</v>
      </c>
      <c r="T295" s="252">
        <v>103</v>
      </c>
      <c r="U295" s="252">
        <v>2047</v>
      </c>
      <c r="V295" s="253">
        <v>-11</v>
      </c>
      <c r="W295" s="254">
        <v>2036</v>
      </c>
      <c r="X295" s="252">
        <v>106</v>
      </c>
      <c r="Y295" s="252">
        <v>209</v>
      </c>
      <c r="Z295" s="253">
        <v>1732</v>
      </c>
      <c r="AA295" s="262">
        <v>4445</v>
      </c>
      <c r="AB295" s="272">
        <v>2009.857501306692</v>
      </c>
    </row>
    <row r="296" spans="1:28" ht="13.5" customHeight="1">
      <c r="A296" s="18">
        <v>32</v>
      </c>
      <c r="B296" s="19" t="s">
        <v>37</v>
      </c>
      <c r="C296" s="251">
        <v>2</v>
      </c>
      <c r="D296" s="252">
        <v>0</v>
      </c>
      <c r="E296" s="252">
        <v>93</v>
      </c>
      <c r="F296" s="252">
        <v>0</v>
      </c>
      <c r="G296" s="252">
        <v>3</v>
      </c>
      <c r="H296" s="252">
        <v>22</v>
      </c>
      <c r="I296" s="252">
        <v>876</v>
      </c>
      <c r="J296" s="252">
        <v>16</v>
      </c>
      <c r="K296" s="252">
        <v>35</v>
      </c>
      <c r="L296" s="252">
        <v>50</v>
      </c>
      <c r="M296" s="252">
        <v>0</v>
      </c>
      <c r="N296" s="252">
        <v>4</v>
      </c>
      <c r="O296" s="252">
        <v>58</v>
      </c>
      <c r="P296" s="252">
        <v>0</v>
      </c>
      <c r="Q296" s="252">
        <v>279</v>
      </c>
      <c r="R296" s="252">
        <v>187</v>
      </c>
      <c r="S296" s="252">
        <v>134</v>
      </c>
      <c r="T296" s="252">
        <v>17</v>
      </c>
      <c r="U296" s="252">
        <v>1776</v>
      </c>
      <c r="V296" s="253">
        <v>-9</v>
      </c>
      <c r="W296" s="254">
        <v>1767</v>
      </c>
      <c r="X296" s="252">
        <v>95</v>
      </c>
      <c r="Y296" s="252">
        <v>879</v>
      </c>
      <c r="Z296" s="253">
        <v>802</v>
      </c>
      <c r="AA296" s="262">
        <v>5338</v>
      </c>
      <c r="AB296" s="272">
        <v>1742.5783101019904</v>
      </c>
    </row>
    <row r="297" spans="1:28" ht="13.5" customHeight="1">
      <c r="A297" s="18">
        <v>33</v>
      </c>
      <c r="B297" s="19" t="s">
        <v>38</v>
      </c>
      <c r="C297" s="251">
        <v>1616</v>
      </c>
      <c r="D297" s="252">
        <v>1</v>
      </c>
      <c r="E297" s="252">
        <v>40</v>
      </c>
      <c r="F297" s="252">
        <v>94</v>
      </c>
      <c r="G297" s="252">
        <v>989</v>
      </c>
      <c r="H297" s="252">
        <v>214</v>
      </c>
      <c r="I297" s="252">
        <v>2110</v>
      </c>
      <c r="J297" s="252">
        <v>231</v>
      </c>
      <c r="K297" s="252">
        <v>91</v>
      </c>
      <c r="L297" s="252">
        <v>166</v>
      </c>
      <c r="M297" s="252">
        <v>0</v>
      </c>
      <c r="N297" s="252">
        <v>4</v>
      </c>
      <c r="O297" s="252">
        <v>106</v>
      </c>
      <c r="P297" s="252">
        <v>12</v>
      </c>
      <c r="Q297" s="252">
        <v>750</v>
      </c>
      <c r="R297" s="252">
        <v>294</v>
      </c>
      <c r="S297" s="252">
        <v>183</v>
      </c>
      <c r="T297" s="252">
        <v>144</v>
      </c>
      <c r="U297" s="252">
        <v>7045</v>
      </c>
      <c r="V297" s="253">
        <v>-38</v>
      </c>
      <c r="W297" s="254">
        <v>7007</v>
      </c>
      <c r="X297" s="252">
        <v>1657</v>
      </c>
      <c r="Y297" s="252">
        <v>3193</v>
      </c>
      <c r="Z297" s="253">
        <v>2195</v>
      </c>
      <c r="AA297" s="262">
        <v>6364</v>
      </c>
      <c r="AB297" s="272">
        <v>6762.3301617751631</v>
      </c>
    </row>
    <row r="298" spans="1:28" ht="13.5" customHeight="1">
      <c r="A298" s="18">
        <v>34</v>
      </c>
      <c r="B298" s="19" t="s">
        <v>39</v>
      </c>
      <c r="C298" s="251">
        <v>544</v>
      </c>
      <c r="D298" s="252">
        <v>0</v>
      </c>
      <c r="E298" s="252">
        <v>11</v>
      </c>
      <c r="F298" s="252">
        <v>0</v>
      </c>
      <c r="G298" s="252">
        <v>598</v>
      </c>
      <c r="H298" s="252">
        <v>74</v>
      </c>
      <c r="I298" s="252">
        <v>2096</v>
      </c>
      <c r="J298" s="252">
        <v>58</v>
      </c>
      <c r="K298" s="252">
        <v>92</v>
      </c>
      <c r="L298" s="252">
        <v>162</v>
      </c>
      <c r="M298" s="252">
        <v>0</v>
      </c>
      <c r="N298" s="252">
        <v>13</v>
      </c>
      <c r="O298" s="252">
        <v>31</v>
      </c>
      <c r="P298" s="252">
        <v>7</v>
      </c>
      <c r="Q298" s="252">
        <v>352</v>
      </c>
      <c r="R298" s="252">
        <v>241</v>
      </c>
      <c r="S298" s="252">
        <v>147</v>
      </c>
      <c r="T298" s="252">
        <v>55</v>
      </c>
      <c r="U298" s="252">
        <v>4481</v>
      </c>
      <c r="V298" s="253">
        <v>-24</v>
      </c>
      <c r="W298" s="254">
        <v>4457</v>
      </c>
      <c r="X298" s="252">
        <v>555</v>
      </c>
      <c r="Y298" s="252">
        <v>2694</v>
      </c>
      <c r="Z298" s="253">
        <v>1232</v>
      </c>
      <c r="AA298" s="262">
        <v>7973</v>
      </c>
      <c r="AB298" s="272">
        <v>4355.8958816793047</v>
      </c>
    </row>
    <row r="299" spans="1:28" ht="13.5" customHeight="1">
      <c r="A299" s="18">
        <v>35</v>
      </c>
      <c r="B299" s="19" t="s">
        <v>40</v>
      </c>
      <c r="C299" s="251">
        <v>205</v>
      </c>
      <c r="D299" s="252">
        <v>4</v>
      </c>
      <c r="E299" s="252">
        <v>86</v>
      </c>
      <c r="F299" s="252">
        <v>5</v>
      </c>
      <c r="G299" s="252">
        <v>388</v>
      </c>
      <c r="H299" s="252">
        <v>103</v>
      </c>
      <c r="I299" s="252">
        <v>1025</v>
      </c>
      <c r="J299" s="252">
        <v>218</v>
      </c>
      <c r="K299" s="252">
        <v>246</v>
      </c>
      <c r="L299" s="252">
        <v>121</v>
      </c>
      <c r="M299" s="252">
        <v>0</v>
      </c>
      <c r="N299" s="252">
        <v>13</v>
      </c>
      <c r="O299" s="252">
        <v>140</v>
      </c>
      <c r="P299" s="252">
        <v>98</v>
      </c>
      <c r="Q299" s="252">
        <v>644</v>
      </c>
      <c r="R299" s="252">
        <v>446</v>
      </c>
      <c r="S299" s="252">
        <v>182</v>
      </c>
      <c r="T299" s="252">
        <v>140</v>
      </c>
      <c r="U299" s="252">
        <v>4064</v>
      </c>
      <c r="V299" s="253">
        <v>-22</v>
      </c>
      <c r="W299" s="254">
        <v>4042</v>
      </c>
      <c r="X299" s="252">
        <v>295</v>
      </c>
      <c r="Y299" s="252">
        <v>1418</v>
      </c>
      <c r="Z299" s="253">
        <v>2351</v>
      </c>
      <c r="AA299" s="262">
        <v>5084</v>
      </c>
      <c r="AB299" s="272">
        <v>3971.4937218576861</v>
      </c>
    </row>
    <row r="300" spans="1:28" ht="13.5" customHeight="1">
      <c r="A300" s="18">
        <v>36</v>
      </c>
      <c r="B300" s="19" t="s">
        <v>41</v>
      </c>
      <c r="C300" s="251">
        <v>491</v>
      </c>
      <c r="D300" s="252">
        <v>0</v>
      </c>
      <c r="E300" s="252">
        <v>137</v>
      </c>
      <c r="F300" s="252">
        <v>0</v>
      </c>
      <c r="G300" s="252">
        <v>378</v>
      </c>
      <c r="H300" s="252">
        <v>51</v>
      </c>
      <c r="I300" s="252">
        <v>502</v>
      </c>
      <c r="J300" s="252">
        <v>165</v>
      </c>
      <c r="K300" s="252">
        <v>402</v>
      </c>
      <c r="L300" s="252">
        <v>209</v>
      </c>
      <c r="M300" s="252">
        <v>0</v>
      </c>
      <c r="N300" s="252">
        <v>4</v>
      </c>
      <c r="O300" s="252">
        <v>255</v>
      </c>
      <c r="P300" s="252">
        <v>44</v>
      </c>
      <c r="Q300" s="252">
        <v>653</v>
      </c>
      <c r="R300" s="252">
        <v>342</v>
      </c>
      <c r="S300" s="252">
        <v>373</v>
      </c>
      <c r="T300" s="252">
        <v>150</v>
      </c>
      <c r="U300" s="252">
        <v>4156</v>
      </c>
      <c r="V300" s="253">
        <v>-22</v>
      </c>
      <c r="W300" s="254">
        <v>4134</v>
      </c>
      <c r="X300" s="252">
        <v>628</v>
      </c>
      <c r="Y300" s="252">
        <v>880</v>
      </c>
      <c r="Z300" s="253">
        <v>2648</v>
      </c>
      <c r="AA300" s="262">
        <v>4302</v>
      </c>
      <c r="AB300" s="272">
        <v>4008.5821496377102</v>
      </c>
    </row>
    <row r="301" spans="1:28" ht="13.5" customHeight="1">
      <c r="A301" s="18">
        <v>37</v>
      </c>
      <c r="B301" s="19" t="s">
        <v>49</v>
      </c>
      <c r="C301" s="251">
        <v>1854</v>
      </c>
      <c r="D301" s="252">
        <v>0</v>
      </c>
      <c r="E301" s="252">
        <v>627</v>
      </c>
      <c r="F301" s="252">
        <v>28</v>
      </c>
      <c r="G301" s="252">
        <v>3062</v>
      </c>
      <c r="H301" s="252">
        <v>1130</v>
      </c>
      <c r="I301" s="252">
        <v>1766</v>
      </c>
      <c r="J301" s="252">
        <v>1252</v>
      </c>
      <c r="K301" s="252">
        <v>984</v>
      </c>
      <c r="L301" s="252">
        <v>1301</v>
      </c>
      <c r="M301" s="252">
        <v>0</v>
      </c>
      <c r="N301" s="252">
        <v>201</v>
      </c>
      <c r="O301" s="252">
        <v>1958</v>
      </c>
      <c r="P301" s="252">
        <v>811</v>
      </c>
      <c r="Q301" s="252">
        <v>3947</v>
      </c>
      <c r="R301" s="252">
        <v>1762</v>
      </c>
      <c r="S301" s="252">
        <v>1965</v>
      </c>
      <c r="T301" s="252">
        <v>1184</v>
      </c>
      <c r="U301" s="252">
        <v>23832</v>
      </c>
      <c r="V301" s="253">
        <v>-127</v>
      </c>
      <c r="W301" s="254">
        <v>23705</v>
      </c>
      <c r="X301" s="252">
        <v>2481</v>
      </c>
      <c r="Y301" s="252">
        <v>4856</v>
      </c>
      <c r="Z301" s="253">
        <v>16495</v>
      </c>
      <c r="AA301" s="262">
        <v>4860</v>
      </c>
      <c r="AB301" s="272">
        <v>23199.748949229284</v>
      </c>
    </row>
    <row r="302" spans="1:28" ht="13.5" customHeight="1">
      <c r="A302" s="20">
        <v>38</v>
      </c>
      <c r="B302" s="21" t="s">
        <v>50</v>
      </c>
      <c r="C302" s="255">
        <v>3955</v>
      </c>
      <c r="D302" s="256">
        <v>0</v>
      </c>
      <c r="E302" s="256">
        <v>184</v>
      </c>
      <c r="F302" s="256">
        <v>70</v>
      </c>
      <c r="G302" s="256">
        <v>1546</v>
      </c>
      <c r="H302" s="256">
        <v>1661</v>
      </c>
      <c r="I302" s="256">
        <v>4970</v>
      </c>
      <c r="J302" s="256">
        <v>3290</v>
      </c>
      <c r="K302" s="256">
        <v>1593</v>
      </c>
      <c r="L302" s="256">
        <v>965</v>
      </c>
      <c r="M302" s="256">
        <v>23</v>
      </c>
      <c r="N302" s="256">
        <v>463</v>
      </c>
      <c r="O302" s="256">
        <v>7940</v>
      </c>
      <c r="P302" s="256">
        <v>2043</v>
      </c>
      <c r="Q302" s="256">
        <v>6388</v>
      </c>
      <c r="R302" s="256">
        <v>5670</v>
      </c>
      <c r="S302" s="256">
        <v>10921</v>
      </c>
      <c r="T302" s="256">
        <v>2757</v>
      </c>
      <c r="U302" s="256">
        <v>54439</v>
      </c>
      <c r="V302" s="257">
        <v>-292</v>
      </c>
      <c r="W302" s="258">
        <v>54147</v>
      </c>
      <c r="X302" s="256">
        <v>4139</v>
      </c>
      <c r="Y302" s="256">
        <v>6586</v>
      </c>
      <c r="Z302" s="257">
        <v>43714</v>
      </c>
      <c r="AA302" s="263">
        <v>5096</v>
      </c>
      <c r="AB302" s="273">
        <v>53371.763802414469</v>
      </c>
    </row>
    <row r="303" spans="1:28" ht="13.5" customHeight="1">
      <c r="A303" s="20">
        <v>39</v>
      </c>
      <c r="B303" s="21" t="s">
        <v>42</v>
      </c>
      <c r="C303" s="243">
        <v>1016</v>
      </c>
      <c r="D303" s="244">
        <v>0</v>
      </c>
      <c r="E303" s="244">
        <v>1</v>
      </c>
      <c r="F303" s="244">
        <v>0</v>
      </c>
      <c r="G303" s="244">
        <v>530</v>
      </c>
      <c r="H303" s="244">
        <v>33</v>
      </c>
      <c r="I303" s="244">
        <v>3110</v>
      </c>
      <c r="J303" s="244">
        <v>119</v>
      </c>
      <c r="K303" s="244">
        <v>172</v>
      </c>
      <c r="L303" s="244">
        <v>95</v>
      </c>
      <c r="M303" s="244">
        <v>0</v>
      </c>
      <c r="N303" s="244">
        <v>14</v>
      </c>
      <c r="O303" s="244">
        <v>212</v>
      </c>
      <c r="P303" s="244">
        <v>42</v>
      </c>
      <c r="Q303" s="244">
        <v>588</v>
      </c>
      <c r="R303" s="244">
        <v>325</v>
      </c>
      <c r="S303" s="244">
        <v>154</v>
      </c>
      <c r="T303" s="244">
        <v>117</v>
      </c>
      <c r="U303" s="244">
        <v>6528</v>
      </c>
      <c r="V303" s="245">
        <v>-35</v>
      </c>
      <c r="W303" s="246">
        <v>6493</v>
      </c>
      <c r="X303" s="244">
        <v>1017</v>
      </c>
      <c r="Y303" s="244">
        <v>3640</v>
      </c>
      <c r="Z303" s="245">
        <v>1871</v>
      </c>
      <c r="AA303" s="260">
        <v>8499</v>
      </c>
      <c r="AB303" s="270">
        <v>6317.0361362072863</v>
      </c>
    </row>
    <row r="304" spans="1:28" ht="13.5" customHeight="1">
      <c r="A304" s="18">
        <v>40</v>
      </c>
      <c r="B304" s="19" t="s">
        <v>43</v>
      </c>
      <c r="C304" s="247">
        <v>1753</v>
      </c>
      <c r="D304" s="248">
        <v>9</v>
      </c>
      <c r="E304" s="248">
        <v>98</v>
      </c>
      <c r="F304" s="248">
        <v>0</v>
      </c>
      <c r="G304" s="248">
        <v>1529</v>
      </c>
      <c r="H304" s="248">
        <v>307</v>
      </c>
      <c r="I304" s="248">
        <v>1943</v>
      </c>
      <c r="J304" s="248">
        <v>372</v>
      </c>
      <c r="K304" s="248">
        <v>1364</v>
      </c>
      <c r="L304" s="248">
        <v>3198</v>
      </c>
      <c r="M304" s="248">
        <v>0</v>
      </c>
      <c r="N304" s="248">
        <v>20</v>
      </c>
      <c r="O304" s="248">
        <v>1025</v>
      </c>
      <c r="P304" s="248">
        <v>813</v>
      </c>
      <c r="Q304" s="248">
        <v>526</v>
      </c>
      <c r="R304" s="248">
        <v>1950</v>
      </c>
      <c r="S304" s="248">
        <v>452</v>
      </c>
      <c r="T304" s="248">
        <v>2060</v>
      </c>
      <c r="U304" s="248">
        <v>17419</v>
      </c>
      <c r="V304" s="249">
        <v>-94</v>
      </c>
      <c r="W304" s="250">
        <v>17325</v>
      </c>
      <c r="X304" s="248">
        <v>1860</v>
      </c>
      <c r="Y304" s="248">
        <v>3472</v>
      </c>
      <c r="Z304" s="249">
        <v>12087</v>
      </c>
      <c r="AA304" s="261">
        <v>5741</v>
      </c>
      <c r="AB304" s="271">
        <v>16835.829595094259</v>
      </c>
    </row>
    <row r="305" spans="1:28" ht="13.5" customHeight="1">
      <c r="A305" s="20">
        <v>41</v>
      </c>
      <c r="B305" s="21" t="s">
        <v>44</v>
      </c>
      <c r="C305" s="255">
        <v>239</v>
      </c>
      <c r="D305" s="256">
        <v>0</v>
      </c>
      <c r="E305" s="256">
        <v>76</v>
      </c>
      <c r="F305" s="256">
        <v>42</v>
      </c>
      <c r="G305" s="256">
        <v>939</v>
      </c>
      <c r="H305" s="256">
        <v>269</v>
      </c>
      <c r="I305" s="256">
        <v>1752</v>
      </c>
      <c r="J305" s="256">
        <v>180</v>
      </c>
      <c r="K305" s="256">
        <v>378</v>
      </c>
      <c r="L305" s="256">
        <v>501</v>
      </c>
      <c r="M305" s="256">
        <v>0</v>
      </c>
      <c r="N305" s="256">
        <v>5</v>
      </c>
      <c r="O305" s="256">
        <v>321</v>
      </c>
      <c r="P305" s="256">
        <v>145</v>
      </c>
      <c r="Q305" s="256">
        <v>2792</v>
      </c>
      <c r="R305" s="256">
        <v>630</v>
      </c>
      <c r="S305" s="256">
        <v>404</v>
      </c>
      <c r="T305" s="256">
        <v>237</v>
      </c>
      <c r="U305" s="256">
        <v>8910</v>
      </c>
      <c r="V305" s="257">
        <v>-48</v>
      </c>
      <c r="W305" s="258">
        <v>8862</v>
      </c>
      <c r="X305" s="256">
        <v>315</v>
      </c>
      <c r="Y305" s="256">
        <v>2733</v>
      </c>
      <c r="Z305" s="257">
        <v>5862</v>
      </c>
      <c r="AA305" s="263">
        <v>5345</v>
      </c>
      <c r="AB305" s="273">
        <v>8763.7953400306506</v>
      </c>
    </row>
    <row r="306" spans="1:28" ht="15.75" customHeight="1">
      <c r="A306" s="111" t="s">
        <v>146</v>
      </c>
      <c r="B306" s="7" t="s">
        <v>152</v>
      </c>
      <c r="C306" s="247">
        <v>18500</v>
      </c>
      <c r="D306" s="248">
        <v>212</v>
      </c>
      <c r="E306" s="248">
        <v>2256</v>
      </c>
      <c r="F306" s="248">
        <v>2493</v>
      </c>
      <c r="G306" s="248">
        <v>21425</v>
      </c>
      <c r="H306" s="248">
        <v>21367</v>
      </c>
      <c r="I306" s="248">
        <v>49754</v>
      </c>
      <c r="J306" s="248">
        <v>23328</v>
      </c>
      <c r="K306" s="248">
        <v>14857</v>
      </c>
      <c r="L306" s="248">
        <v>33225</v>
      </c>
      <c r="M306" s="248">
        <v>4182</v>
      </c>
      <c r="N306" s="248">
        <v>5624</v>
      </c>
      <c r="O306" s="248">
        <v>37909</v>
      </c>
      <c r="P306" s="248">
        <v>23600</v>
      </c>
      <c r="Q306" s="248">
        <v>28864</v>
      </c>
      <c r="R306" s="248">
        <v>31397</v>
      </c>
      <c r="S306" s="248">
        <v>51096</v>
      </c>
      <c r="T306" s="248">
        <v>25502</v>
      </c>
      <c r="U306" s="248">
        <v>395591</v>
      </c>
      <c r="V306" s="249">
        <v>-2119</v>
      </c>
      <c r="W306" s="250">
        <v>393472</v>
      </c>
      <c r="X306" s="248">
        <v>20968</v>
      </c>
      <c r="Y306" s="248">
        <v>73672</v>
      </c>
      <c r="Z306" s="249">
        <v>300951</v>
      </c>
      <c r="AA306" s="261">
        <v>5174</v>
      </c>
      <c r="AB306" s="271">
        <v>387668.28343656863</v>
      </c>
    </row>
    <row r="307" spans="1:28" ht="15.75" customHeight="1">
      <c r="A307" s="112" t="s">
        <v>147</v>
      </c>
      <c r="B307" s="17" t="s">
        <v>153</v>
      </c>
      <c r="C307" s="251">
        <v>6734</v>
      </c>
      <c r="D307" s="252">
        <v>11</v>
      </c>
      <c r="E307" s="252">
        <v>1867</v>
      </c>
      <c r="F307" s="252">
        <v>1496</v>
      </c>
      <c r="G307" s="252">
        <v>94627</v>
      </c>
      <c r="H307" s="252">
        <v>83235</v>
      </c>
      <c r="I307" s="252">
        <v>145842</v>
      </c>
      <c r="J307" s="252">
        <v>182602</v>
      </c>
      <c r="K307" s="252">
        <v>58384</v>
      </c>
      <c r="L307" s="252">
        <v>58744</v>
      </c>
      <c r="M307" s="252">
        <v>82982</v>
      </c>
      <c r="N307" s="252">
        <v>35974</v>
      </c>
      <c r="O307" s="252">
        <v>208553</v>
      </c>
      <c r="P307" s="252">
        <v>160901</v>
      </c>
      <c r="Q307" s="252">
        <v>89685</v>
      </c>
      <c r="R307" s="252">
        <v>99926</v>
      </c>
      <c r="S307" s="252">
        <v>198306</v>
      </c>
      <c r="T307" s="252">
        <v>96180</v>
      </c>
      <c r="U307" s="252">
        <v>1606049</v>
      </c>
      <c r="V307" s="253">
        <v>-8599</v>
      </c>
      <c r="W307" s="254">
        <v>1597450</v>
      </c>
      <c r="X307" s="252">
        <v>8612</v>
      </c>
      <c r="Y307" s="252">
        <v>241965</v>
      </c>
      <c r="Z307" s="253">
        <v>1355472</v>
      </c>
      <c r="AA307" s="262">
        <v>6004</v>
      </c>
      <c r="AB307" s="272">
        <v>1587014.7905623622</v>
      </c>
    </row>
    <row r="308" spans="1:28" ht="15.75" customHeight="1">
      <c r="A308" s="112" t="s">
        <v>148</v>
      </c>
      <c r="B308" s="17" t="s">
        <v>154</v>
      </c>
      <c r="C308" s="251">
        <v>19463</v>
      </c>
      <c r="D308" s="252">
        <v>17</v>
      </c>
      <c r="E308" s="252">
        <v>2821</v>
      </c>
      <c r="F308" s="252">
        <v>1187</v>
      </c>
      <c r="G308" s="252">
        <v>46328</v>
      </c>
      <c r="H308" s="252">
        <v>17451</v>
      </c>
      <c r="I308" s="252">
        <v>72011</v>
      </c>
      <c r="J308" s="252">
        <v>54016</v>
      </c>
      <c r="K308" s="252">
        <v>31109</v>
      </c>
      <c r="L308" s="252">
        <v>20543</v>
      </c>
      <c r="M308" s="252">
        <v>5881</v>
      </c>
      <c r="N308" s="252">
        <v>7745</v>
      </c>
      <c r="O308" s="252">
        <v>75637</v>
      </c>
      <c r="P308" s="252">
        <v>40029</v>
      </c>
      <c r="Q308" s="252">
        <v>41657</v>
      </c>
      <c r="R308" s="252">
        <v>36108</v>
      </c>
      <c r="S308" s="252">
        <v>101003</v>
      </c>
      <c r="T308" s="252">
        <v>36075</v>
      </c>
      <c r="U308" s="252">
        <v>609081</v>
      </c>
      <c r="V308" s="253">
        <v>-3259</v>
      </c>
      <c r="W308" s="254">
        <v>605822</v>
      </c>
      <c r="X308" s="252">
        <v>22301</v>
      </c>
      <c r="Y308" s="252">
        <v>119526</v>
      </c>
      <c r="Z308" s="253">
        <v>467254</v>
      </c>
      <c r="AA308" s="262">
        <v>5306</v>
      </c>
      <c r="AB308" s="272">
        <v>598582.30338056409</v>
      </c>
    </row>
    <row r="309" spans="1:28" ht="15.75" customHeight="1">
      <c r="A309" s="112" t="s">
        <v>149</v>
      </c>
      <c r="B309" s="17" t="s">
        <v>155</v>
      </c>
      <c r="C309" s="251">
        <v>320</v>
      </c>
      <c r="D309" s="252">
        <v>35</v>
      </c>
      <c r="E309" s="252">
        <v>2263</v>
      </c>
      <c r="F309" s="252">
        <v>413</v>
      </c>
      <c r="G309" s="252">
        <v>9875</v>
      </c>
      <c r="H309" s="252">
        <v>31859</v>
      </c>
      <c r="I309" s="252">
        <v>101960</v>
      </c>
      <c r="J309" s="252">
        <v>120412</v>
      </c>
      <c r="K309" s="252">
        <v>151976</v>
      </c>
      <c r="L309" s="252">
        <v>58402</v>
      </c>
      <c r="M309" s="252">
        <v>108837</v>
      </c>
      <c r="N309" s="252">
        <v>84030</v>
      </c>
      <c r="O309" s="252">
        <v>133522</v>
      </c>
      <c r="P309" s="252">
        <v>187600</v>
      </c>
      <c r="Q309" s="252">
        <v>191886</v>
      </c>
      <c r="R309" s="252">
        <v>38196</v>
      </c>
      <c r="S309" s="252">
        <v>111251</v>
      </c>
      <c r="T309" s="252">
        <v>59088</v>
      </c>
      <c r="U309" s="252">
        <v>1391925</v>
      </c>
      <c r="V309" s="253">
        <v>-7456</v>
      </c>
      <c r="W309" s="254">
        <v>1384469</v>
      </c>
      <c r="X309" s="252">
        <v>2618</v>
      </c>
      <c r="Y309" s="252">
        <v>112248</v>
      </c>
      <c r="Z309" s="253">
        <v>1277059</v>
      </c>
      <c r="AA309" s="262">
        <v>7513</v>
      </c>
      <c r="AB309" s="272">
        <v>1374665.9967370799</v>
      </c>
    </row>
    <row r="310" spans="1:28" ht="15.75" customHeight="1">
      <c r="A310" s="112" t="s">
        <v>150</v>
      </c>
      <c r="B310" s="17" t="s">
        <v>156</v>
      </c>
      <c r="C310" s="251">
        <v>12516</v>
      </c>
      <c r="D310" s="252">
        <v>45</v>
      </c>
      <c r="E310" s="252">
        <v>737</v>
      </c>
      <c r="F310" s="252">
        <v>267</v>
      </c>
      <c r="G310" s="252">
        <v>11631</v>
      </c>
      <c r="H310" s="252">
        <v>6529</v>
      </c>
      <c r="I310" s="252">
        <v>22456</v>
      </c>
      <c r="J310" s="252">
        <v>18930</v>
      </c>
      <c r="K310" s="252">
        <v>9148</v>
      </c>
      <c r="L310" s="252">
        <v>8140</v>
      </c>
      <c r="M310" s="252">
        <v>1822</v>
      </c>
      <c r="N310" s="252">
        <v>2216</v>
      </c>
      <c r="O310" s="252">
        <v>14724</v>
      </c>
      <c r="P310" s="252">
        <v>12905</v>
      </c>
      <c r="Q310" s="252">
        <v>17315</v>
      </c>
      <c r="R310" s="252">
        <v>10340</v>
      </c>
      <c r="S310" s="252">
        <v>20868</v>
      </c>
      <c r="T310" s="252">
        <v>6943</v>
      </c>
      <c r="U310" s="252">
        <v>177532</v>
      </c>
      <c r="V310" s="253">
        <v>-951</v>
      </c>
      <c r="W310" s="254">
        <v>176581</v>
      </c>
      <c r="X310" s="252">
        <v>13298</v>
      </c>
      <c r="Y310" s="252">
        <v>34354</v>
      </c>
      <c r="Z310" s="253">
        <v>129880</v>
      </c>
      <c r="AA310" s="262">
        <v>6003</v>
      </c>
      <c r="AB310" s="272">
        <v>173525.26926106279</v>
      </c>
    </row>
    <row r="311" spans="1:28" ht="15.75" customHeight="1">
      <c r="A311" s="113" t="s">
        <v>151</v>
      </c>
      <c r="B311" s="105" t="s">
        <v>157</v>
      </c>
      <c r="C311" s="255">
        <v>8987</v>
      </c>
      <c r="D311" s="256">
        <v>34</v>
      </c>
      <c r="E311" s="256">
        <v>864</v>
      </c>
      <c r="F311" s="256">
        <v>281</v>
      </c>
      <c r="G311" s="256">
        <v>8362</v>
      </c>
      <c r="H311" s="256">
        <v>7433</v>
      </c>
      <c r="I311" s="256">
        <v>18122</v>
      </c>
      <c r="J311" s="256">
        <v>12803</v>
      </c>
      <c r="K311" s="256">
        <v>16923</v>
      </c>
      <c r="L311" s="256">
        <v>15725</v>
      </c>
      <c r="M311" s="256">
        <v>2212</v>
      </c>
      <c r="N311" s="256">
        <v>2709</v>
      </c>
      <c r="O311" s="256">
        <v>17131</v>
      </c>
      <c r="P311" s="256">
        <v>17925</v>
      </c>
      <c r="Q311" s="256">
        <v>22158</v>
      </c>
      <c r="R311" s="256">
        <v>11421</v>
      </c>
      <c r="S311" s="256">
        <v>14354</v>
      </c>
      <c r="T311" s="256">
        <v>9850</v>
      </c>
      <c r="U311" s="256">
        <v>187294</v>
      </c>
      <c r="V311" s="257">
        <v>-1004</v>
      </c>
      <c r="W311" s="258">
        <v>186290</v>
      </c>
      <c r="X311" s="256">
        <v>9885</v>
      </c>
      <c r="Y311" s="256">
        <v>26765</v>
      </c>
      <c r="Z311" s="257">
        <v>150644</v>
      </c>
      <c r="AA311" s="263">
        <v>5872</v>
      </c>
      <c r="AB311" s="273">
        <v>183273.35530251433</v>
      </c>
    </row>
    <row r="312" spans="1:28" ht="15.75" customHeight="1">
      <c r="A312" s="222" t="s">
        <v>293</v>
      </c>
      <c r="B312" s="25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</row>
    <row r="313" spans="1:28" ht="15.75" customHeight="1">
      <c r="A313" s="222" t="s">
        <v>292</v>
      </c>
    </row>
    <row r="314" spans="1:28" ht="13.5" customHeight="1">
      <c r="A314" s="55">
        <f>A262+1</f>
        <v>29</v>
      </c>
      <c r="B314" s="50" t="str">
        <f>IF(A314&lt;22,"令和"&amp;A314&amp;"年度","平成"&amp;A314&amp;"年度")</f>
        <v>平成29年度</v>
      </c>
      <c r="C314" s="56" t="str">
        <f>C$2</f>
        <v>経済活動別市町村内総生産（百万円）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1"/>
      <c r="Y314" s="2"/>
      <c r="Z314" s="57"/>
      <c r="AA314" s="57"/>
      <c r="AB314" s="57"/>
    </row>
    <row r="315" spans="1:28" ht="45" customHeight="1">
      <c r="A315" s="186"/>
      <c r="B315" s="76"/>
      <c r="C315" s="77" t="s">
        <v>51</v>
      </c>
      <c r="D315" s="77" t="s">
        <v>52</v>
      </c>
      <c r="E315" s="77" t="s">
        <v>53</v>
      </c>
      <c r="F315" s="77" t="s">
        <v>54</v>
      </c>
      <c r="G315" s="77" t="s">
        <v>55</v>
      </c>
      <c r="H315" s="77" t="s">
        <v>56</v>
      </c>
      <c r="I315" s="77" t="s">
        <v>57</v>
      </c>
      <c r="J315" s="77" t="s">
        <v>58</v>
      </c>
      <c r="K315" s="77" t="s">
        <v>59</v>
      </c>
      <c r="L315" s="77" t="s">
        <v>60</v>
      </c>
      <c r="M315" s="77" t="s">
        <v>61</v>
      </c>
      <c r="N315" s="77" t="s">
        <v>62</v>
      </c>
      <c r="O315" s="77" t="s">
        <v>63</v>
      </c>
      <c r="P315" s="77" t="s">
        <v>64</v>
      </c>
      <c r="Q315" s="77" t="s">
        <v>65</v>
      </c>
      <c r="R315" s="77" t="s">
        <v>66</v>
      </c>
      <c r="S315" s="77" t="s">
        <v>67</v>
      </c>
      <c r="T315" s="77" t="s">
        <v>68</v>
      </c>
      <c r="U315" s="77" t="s">
        <v>70</v>
      </c>
      <c r="V315" s="78" t="s">
        <v>69</v>
      </c>
      <c r="W315" s="79" t="s">
        <v>71</v>
      </c>
      <c r="X315" s="77" t="s">
        <v>72</v>
      </c>
      <c r="Y315" s="77" t="s">
        <v>73</v>
      </c>
      <c r="Z315" s="77" t="s">
        <v>74</v>
      </c>
      <c r="AA315" s="259" t="s">
        <v>277</v>
      </c>
      <c r="AB315" s="269" t="s">
        <v>278</v>
      </c>
    </row>
    <row r="316" spans="1:28" ht="13.5" customHeight="1">
      <c r="A316" s="153" t="s">
        <v>160</v>
      </c>
      <c r="B316" s="22" t="s">
        <v>0</v>
      </c>
      <c r="C316" s="243">
        <v>53380</v>
      </c>
      <c r="D316" s="244">
        <v>327</v>
      </c>
      <c r="E316" s="244">
        <v>11361</v>
      </c>
      <c r="F316" s="244">
        <v>7071</v>
      </c>
      <c r="G316" s="244">
        <v>191828</v>
      </c>
      <c r="H316" s="244">
        <v>172291</v>
      </c>
      <c r="I316" s="244">
        <v>447606</v>
      </c>
      <c r="J316" s="244">
        <v>424960</v>
      </c>
      <c r="K316" s="244">
        <v>285175</v>
      </c>
      <c r="L316" s="244">
        <v>203865</v>
      </c>
      <c r="M316" s="244">
        <v>200691</v>
      </c>
      <c r="N316" s="244">
        <v>141931</v>
      </c>
      <c r="O316" s="244">
        <v>505905</v>
      </c>
      <c r="P316" s="244">
        <v>434576</v>
      </c>
      <c r="Q316" s="244">
        <v>402025</v>
      </c>
      <c r="R316" s="244">
        <v>233926</v>
      </c>
      <c r="S316" s="244">
        <v>496888</v>
      </c>
      <c r="T316" s="244">
        <v>236458</v>
      </c>
      <c r="U316" s="244">
        <v>4450264</v>
      </c>
      <c r="V316" s="245">
        <v>-24672</v>
      </c>
      <c r="W316" s="246">
        <v>4425592</v>
      </c>
      <c r="X316" s="244">
        <v>65068</v>
      </c>
      <c r="Y316" s="244">
        <v>646505</v>
      </c>
      <c r="Z316" s="245">
        <v>3738691</v>
      </c>
      <c r="AA316" s="260">
        <v>6227</v>
      </c>
      <c r="AB316" s="270">
        <v>4378017</v>
      </c>
    </row>
    <row r="317" spans="1:28" ht="13.5" customHeight="1">
      <c r="A317" s="16" t="s">
        <v>1</v>
      </c>
      <c r="B317" s="17" t="s">
        <v>2</v>
      </c>
      <c r="C317" s="247">
        <v>298</v>
      </c>
      <c r="D317" s="248">
        <v>34</v>
      </c>
      <c r="E317" s="248">
        <v>2508</v>
      </c>
      <c r="F317" s="248">
        <v>479</v>
      </c>
      <c r="G317" s="248">
        <v>13347</v>
      </c>
      <c r="H317" s="248">
        <v>31032</v>
      </c>
      <c r="I317" s="248">
        <v>98269</v>
      </c>
      <c r="J317" s="248">
        <v>124426</v>
      </c>
      <c r="K317" s="248">
        <v>151072</v>
      </c>
      <c r="L317" s="248">
        <v>60536</v>
      </c>
      <c r="M317" s="248">
        <v>106815</v>
      </c>
      <c r="N317" s="248">
        <v>85672</v>
      </c>
      <c r="O317" s="248">
        <v>138055</v>
      </c>
      <c r="P317" s="248">
        <v>183447</v>
      </c>
      <c r="Q317" s="248">
        <v>196279</v>
      </c>
      <c r="R317" s="248">
        <v>39563</v>
      </c>
      <c r="S317" s="248">
        <v>112423</v>
      </c>
      <c r="T317" s="248">
        <v>59939</v>
      </c>
      <c r="U317" s="248">
        <v>1404194</v>
      </c>
      <c r="V317" s="249">
        <v>-7786</v>
      </c>
      <c r="W317" s="250">
        <v>1396408</v>
      </c>
      <c r="X317" s="248">
        <v>2840</v>
      </c>
      <c r="Y317" s="248">
        <v>112095</v>
      </c>
      <c r="Z317" s="249">
        <v>1289259</v>
      </c>
      <c r="AA317" s="261">
        <v>7472</v>
      </c>
      <c r="AB317" s="271">
        <v>1385379.7872347727</v>
      </c>
    </row>
    <row r="318" spans="1:28" ht="13.5" customHeight="1">
      <c r="A318" s="18" t="s">
        <v>3</v>
      </c>
      <c r="B318" s="19" t="s">
        <v>4</v>
      </c>
      <c r="C318" s="251">
        <v>115</v>
      </c>
      <c r="D318" s="252">
        <v>0</v>
      </c>
      <c r="E318" s="252">
        <v>145</v>
      </c>
      <c r="F318" s="252">
        <v>553</v>
      </c>
      <c r="G318" s="252">
        <v>2786</v>
      </c>
      <c r="H318" s="252">
        <v>7803</v>
      </c>
      <c r="I318" s="252">
        <v>22942</v>
      </c>
      <c r="J318" s="252">
        <v>24885</v>
      </c>
      <c r="K318" s="252">
        <v>5563</v>
      </c>
      <c r="L318" s="252">
        <v>8708</v>
      </c>
      <c r="M318" s="252">
        <v>15472</v>
      </c>
      <c r="N318" s="252">
        <v>4622</v>
      </c>
      <c r="O318" s="252">
        <v>34342</v>
      </c>
      <c r="P318" s="252">
        <v>20333</v>
      </c>
      <c r="Q318" s="252">
        <v>8786</v>
      </c>
      <c r="R318" s="252">
        <v>13615</v>
      </c>
      <c r="S318" s="252">
        <v>20282</v>
      </c>
      <c r="T318" s="252">
        <v>13583</v>
      </c>
      <c r="U318" s="252">
        <v>204535</v>
      </c>
      <c r="V318" s="253">
        <v>-1134</v>
      </c>
      <c r="W318" s="254">
        <v>203401</v>
      </c>
      <c r="X318" s="252">
        <v>260</v>
      </c>
      <c r="Y318" s="252">
        <v>26281</v>
      </c>
      <c r="Z318" s="253">
        <v>177994</v>
      </c>
      <c r="AA318" s="262">
        <v>5579</v>
      </c>
      <c r="AB318" s="272">
        <v>201560.27182078047</v>
      </c>
    </row>
    <row r="319" spans="1:28" ht="13.5" customHeight="1">
      <c r="A319" s="18" t="s">
        <v>5</v>
      </c>
      <c r="B319" s="19" t="s">
        <v>6</v>
      </c>
      <c r="C319" s="251">
        <v>6131</v>
      </c>
      <c r="D319" s="252">
        <v>22</v>
      </c>
      <c r="E319" s="252">
        <v>747</v>
      </c>
      <c r="F319" s="252">
        <v>274</v>
      </c>
      <c r="G319" s="252">
        <v>5728</v>
      </c>
      <c r="H319" s="252">
        <v>7245</v>
      </c>
      <c r="I319" s="252">
        <v>19058</v>
      </c>
      <c r="J319" s="252">
        <v>12579</v>
      </c>
      <c r="K319" s="252">
        <v>14637</v>
      </c>
      <c r="L319" s="252">
        <v>12487</v>
      </c>
      <c r="M319" s="252">
        <v>2007</v>
      </c>
      <c r="N319" s="252">
        <v>2690</v>
      </c>
      <c r="O319" s="252">
        <v>16186</v>
      </c>
      <c r="P319" s="252">
        <v>16450</v>
      </c>
      <c r="Q319" s="252">
        <v>19442</v>
      </c>
      <c r="R319" s="252">
        <v>8891</v>
      </c>
      <c r="S319" s="252">
        <v>13443</v>
      </c>
      <c r="T319" s="252">
        <v>7838</v>
      </c>
      <c r="U319" s="252">
        <v>165855</v>
      </c>
      <c r="V319" s="253">
        <v>-919</v>
      </c>
      <c r="W319" s="254">
        <v>164936</v>
      </c>
      <c r="X319" s="252">
        <v>6900</v>
      </c>
      <c r="Y319" s="252">
        <v>25060</v>
      </c>
      <c r="Z319" s="253">
        <v>133895</v>
      </c>
      <c r="AA319" s="262">
        <v>6216</v>
      </c>
      <c r="AB319" s="272">
        <v>162010.95106452369</v>
      </c>
    </row>
    <row r="320" spans="1:28" ht="13.5" customHeight="1">
      <c r="A320" s="18" t="s">
        <v>7</v>
      </c>
      <c r="B320" s="19" t="s">
        <v>8</v>
      </c>
      <c r="C320" s="251">
        <v>28</v>
      </c>
      <c r="D320" s="252">
        <v>2</v>
      </c>
      <c r="E320" s="252">
        <v>206</v>
      </c>
      <c r="F320" s="252">
        <v>147</v>
      </c>
      <c r="G320" s="252">
        <v>21783</v>
      </c>
      <c r="H320" s="252">
        <v>15710</v>
      </c>
      <c r="I320" s="252">
        <v>31185</v>
      </c>
      <c r="J320" s="252">
        <v>80531</v>
      </c>
      <c r="K320" s="252">
        <v>22435</v>
      </c>
      <c r="L320" s="252">
        <v>8814</v>
      </c>
      <c r="M320" s="252">
        <v>37927</v>
      </c>
      <c r="N320" s="252">
        <v>10508</v>
      </c>
      <c r="O320" s="252">
        <v>40897</v>
      </c>
      <c r="P320" s="252">
        <v>50172</v>
      </c>
      <c r="Q320" s="252">
        <v>13822</v>
      </c>
      <c r="R320" s="252">
        <v>17677</v>
      </c>
      <c r="S320" s="252">
        <v>39327</v>
      </c>
      <c r="T320" s="252">
        <v>18454</v>
      </c>
      <c r="U320" s="252">
        <v>409625</v>
      </c>
      <c r="V320" s="253">
        <v>-2271</v>
      </c>
      <c r="W320" s="254">
        <v>407354</v>
      </c>
      <c r="X320" s="252">
        <v>236</v>
      </c>
      <c r="Y320" s="252">
        <v>53115</v>
      </c>
      <c r="Z320" s="253">
        <v>356274</v>
      </c>
      <c r="AA320" s="262">
        <v>6941</v>
      </c>
      <c r="AB320" s="272">
        <v>405716.62245562801</v>
      </c>
    </row>
    <row r="321" spans="1:28" ht="13.5" customHeight="1">
      <c r="A321" s="16" t="s">
        <v>9</v>
      </c>
      <c r="B321" s="17" t="s">
        <v>10</v>
      </c>
      <c r="C321" s="251">
        <v>2988</v>
      </c>
      <c r="D321" s="252">
        <v>71</v>
      </c>
      <c r="E321" s="252">
        <v>446</v>
      </c>
      <c r="F321" s="252">
        <v>1436</v>
      </c>
      <c r="G321" s="252">
        <v>16887</v>
      </c>
      <c r="H321" s="252">
        <v>7249</v>
      </c>
      <c r="I321" s="252">
        <v>33862</v>
      </c>
      <c r="J321" s="252">
        <v>16461</v>
      </c>
      <c r="K321" s="252">
        <v>6033</v>
      </c>
      <c r="L321" s="252">
        <v>13080</v>
      </c>
      <c r="M321" s="252">
        <v>2790</v>
      </c>
      <c r="N321" s="252">
        <v>4488</v>
      </c>
      <c r="O321" s="252">
        <v>19973</v>
      </c>
      <c r="P321" s="252">
        <v>14383</v>
      </c>
      <c r="Q321" s="252">
        <v>13729</v>
      </c>
      <c r="R321" s="252">
        <v>14703</v>
      </c>
      <c r="S321" s="252">
        <v>31350</v>
      </c>
      <c r="T321" s="252">
        <v>9545</v>
      </c>
      <c r="U321" s="252">
        <v>209474</v>
      </c>
      <c r="V321" s="253">
        <v>-1161</v>
      </c>
      <c r="W321" s="254">
        <v>208313</v>
      </c>
      <c r="X321" s="252">
        <v>3505</v>
      </c>
      <c r="Y321" s="252">
        <v>52185</v>
      </c>
      <c r="Z321" s="253">
        <v>153784</v>
      </c>
      <c r="AA321" s="262">
        <v>6153</v>
      </c>
      <c r="AB321" s="272">
        <v>205468.34532713948</v>
      </c>
    </row>
    <row r="322" spans="1:28" ht="13.5" customHeight="1">
      <c r="A322" s="18" t="s">
        <v>11</v>
      </c>
      <c r="B322" s="19" t="s">
        <v>12</v>
      </c>
      <c r="C322" s="251">
        <v>3958</v>
      </c>
      <c r="D322" s="252">
        <v>1</v>
      </c>
      <c r="E322" s="252">
        <v>544</v>
      </c>
      <c r="F322" s="252">
        <v>858</v>
      </c>
      <c r="G322" s="252">
        <v>20629</v>
      </c>
      <c r="H322" s="252">
        <v>3556</v>
      </c>
      <c r="I322" s="252">
        <v>13194</v>
      </c>
      <c r="J322" s="252">
        <v>11632</v>
      </c>
      <c r="K322" s="252">
        <v>7175</v>
      </c>
      <c r="L322" s="252">
        <v>5946</v>
      </c>
      <c r="M322" s="252">
        <v>920</v>
      </c>
      <c r="N322" s="252">
        <v>1897</v>
      </c>
      <c r="O322" s="252">
        <v>17126</v>
      </c>
      <c r="P322" s="252">
        <v>4828</v>
      </c>
      <c r="Q322" s="252">
        <v>7911</v>
      </c>
      <c r="R322" s="252">
        <v>8858</v>
      </c>
      <c r="S322" s="252">
        <v>20138</v>
      </c>
      <c r="T322" s="252">
        <v>8844</v>
      </c>
      <c r="U322" s="252">
        <v>138015</v>
      </c>
      <c r="V322" s="253">
        <v>-766</v>
      </c>
      <c r="W322" s="254">
        <v>137249</v>
      </c>
      <c r="X322" s="252">
        <v>4503</v>
      </c>
      <c r="Y322" s="252">
        <v>34681</v>
      </c>
      <c r="Z322" s="253">
        <v>98831</v>
      </c>
      <c r="AA322" s="262">
        <v>4792</v>
      </c>
      <c r="AB322" s="272">
        <v>135411.06295743439</v>
      </c>
    </row>
    <row r="323" spans="1:28" ht="13.5" customHeight="1">
      <c r="A323" s="18" t="s">
        <v>13</v>
      </c>
      <c r="B323" s="19" t="s">
        <v>14</v>
      </c>
      <c r="C323" s="251">
        <v>1147</v>
      </c>
      <c r="D323" s="252">
        <v>2</v>
      </c>
      <c r="E323" s="252">
        <v>241</v>
      </c>
      <c r="F323" s="252">
        <v>184</v>
      </c>
      <c r="G323" s="252">
        <v>10795</v>
      </c>
      <c r="H323" s="252">
        <v>9131</v>
      </c>
      <c r="I323" s="252">
        <v>34752</v>
      </c>
      <c r="J323" s="252">
        <v>24959</v>
      </c>
      <c r="K323" s="252">
        <v>10549</v>
      </c>
      <c r="L323" s="252">
        <v>14414</v>
      </c>
      <c r="M323" s="252">
        <v>3525</v>
      </c>
      <c r="N323" s="252">
        <v>9907</v>
      </c>
      <c r="O323" s="252">
        <v>47031</v>
      </c>
      <c r="P323" s="252">
        <v>33335</v>
      </c>
      <c r="Q323" s="252">
        <v>27295</v>
      </c>
      <c r="R323" s="252">
        <v>19730</v>
      </c>
      <c r="S323" s="252">
        <v>56487</v>
      </c>
      <c r="T323" s="252">
        <v>21173</v>
      </c>
      <c r="U323" s="252">
        <v>324657</v>
      </c>
      <c r="V323" s="253">
        <v>-1799</v>
      </c>
      <c r="W323" s="254">
        <v>322858</v>
      </c>
      <c r="X323" s="252">
        <v>1390</v>
      </c>
      <c r="Y323" s="252">
        <v>45731</v>
      </c>
      <c r="Z323" s="253">
        <v>277536</v>
      </c>
      <c r="AA323" s="262">
        <v>5931</v>
      </c>
      <c r="AB323" s="272">
        <v>319288.55652775726</v>
      </c>
    </row>
    <row r="324" spans="1:28" ht="13.5" customHeight="1">
      <c r="A324" s="18" t="s">
        <v>15</v>
      </c>
      <c r="B324" s="19" t="s">
        <v>45</v>
      </c>
      <c r="C324" s="251">
        <v>1481</v>
      </c>
      <c r="D324" s="252">
        <v>2</v>
      </c>
      <c r="E324" s="252">
        <v>316</v>
      </c>
      <c r="F324" s="252">
        <v>95</v>
      </c>
      <c r="G324" s="252">
        <v>4769</v>
      </c>
      <c r="H324" s="252">
        <v>3643</v>
      </c>
      <c r="I324" s="252">
        <v>14156</v>
      </c>
      <c r="J324" s="252">
        <v>16476</v>
      </c>
      <c r="K324" s="252">
        <v>14041</v>
      </c>
      <c r="L324" s="252">
        <v>4656</v>
      </c>
      <c r="M324" s="252">
        <v>4296</v>
      </c>
      <c r="N324" s="252">
        <v>2051</v>
      </c>
      <c r="O324" s="252">
        <v>19985</v>
      </c>
      <c r="P324" s="252">
        <v>22924</v>
      </c>
      <c r="Q324" s="252">
        <v>6225</v>
      </c>
      <c r="R324" s="252">
        <v>7282</v>
      </c>
      <c r="S324" s="252">
        <v>25890</v>
      </c>
      <c r="T324" s="252">
        <v>7471</v>
      </c>
      <c r="U324" s="252">
        <v>155759</v>
      </c>
      <c r="V324" s="253">
        <v>-864</v>
      </c>
      <c r="W324" s="254">
        <v>154895</v>
      </c>
      <c r="X324" s="252">
        <v>1799</v>
      </c>
      <c r="Y324" s="252">
        <v>19020</v>
      </c>
      <c r="Z324" s="253">
        <v>134940</v>
      </c>
      <c r="AA324" s="262">
        <v>5939</v>
      </c>
      <c r="AB324" s="272">
        <v>152926.18393738853</v>
      </c>
    </row>
    <row r="325" spans="1:28" ht="13.5" customHeight="1">
      <c r="A325" s="18" t="s">
        <v>16</v>
      </c>
      <c r="B325" s="19" t="s">
        <v>46</v>
      </c>
      <c r="C325" s="251">
        <v>2669</v>
      </c>
      <c r="D325" s="252">
        <v>1</v>
      </c>
      <c r="E325" s="252">
        <v>981</v>
      </c>
      <c r="F325" s="252">
        <v>369</v>
      </c>
      <c r="G325" s="252">
        <v>24612</v>
      </c>
      <c r="H325" s="252">
        <v>25251</v>
      </c>
      <c r="I325" s="252">
        <v>28855</v>
      </c>
      <c r="J325" s="252">
        <v>23700</v>
      </c>
      <c r="K325" s="252">
        <v>10361</v>
      </c>
      <c r="L325" s="252">
        <v>8356</v>
      </c>
      <c r="M325" s="252">
        <v>15760</v>
      </c>
      <c r="N325" s="252">
        <v>4899</v>
      </c>
      <c r="O325" s="252">
        <v>39487</v>
      </c>
      <c r="P325" s="252">
        <v>33781</v>
      </c>
      <c r="Q325" s="252">
        <v>20221</v>
      </c>
      <c r="R325" s="252">
        <v>15474</v>
      </c>
      <c r="S325" s="252">
        <v>32627</v>
      </c>
      <c r="T325" s="252">
        <v>16603</v>
      </c>
      <c r="U325" s="252">
        <v>304007</v>
      </c>
      <c r="V325" s="253">
        <v>-1685</v>
      </c>
      <c r="W325" s="254">
        <v>302322</v>
      </c>
      <c r="X325" s="252">
        <v>3651</v>
      </c>
      <c r="Y325" s="252">
        <v>53836</v>
      </c>
      <c r="Z325" s="253">
        <v>246520</v>
      </c>
      <c r="AA325" s="262">
        <v>6513</v>
      </c>
      <c r="AB325" s="272">
        <v>299885.89341032994</v>
      </c>
    </row>
    <row r="326" spans="1:28" ht="13.5" customHeight="1">
      <c r="A326" s="18">
        <v>10</v>
      </c>
      <c r="B326" s="19" t="s">
        <v>47</v>
      </c>
      <c r="C326" s="251">
        <v>8003</v>
      </c>
      <c r="D326" s="252">
        <v>44</v>
      </c>
      <c r="E326" s="252">
        <v>760</v>
      </c>
      <c r="F326" s="252">
        <v>311</v>
      </c>
      <c r="G326" s="252">
        <v>8645</v>
      </c>
      <c r="H326" s="252">
        <v>6599</v>
      </c>
      <c r="I326" s="252">
        <v>30374</v>
      </c>
      <c r="J326" s="252">
        <v>19421</v>
      </c>
      <c r="K326" s="252">
        <v>9467</v>
      </c>
      <c r="L326" s="252">
        <v>9021</v>
      </c>
      <c r="M326" s="252">
        <v>1939</v>
      </c>
      <c r="N326" s="252">
        <v>2314</v>
      </c>
      <c r="O326" s="252">
        <v>15123</v>
      </c>
      <c r="P326" s="252">
        <v>12722</v>
      </c>
      <c r="Q326" s="252">
        <v>17149</v>
      </c>
      <c r="R326" s="252">
        <v>10068</v>
      </c>
      <c r="S326" s="252">
        <v>20266</v>
      </c>
      <c r="T326" s="252">
        <v>7120</v>
      </c>
      <c r="U326" s="252">
        <v>179346</v>
      </c>
      <c r="V326" s="253">
        <v>-995</v>
      </c>
      <c r="W326" s="254">
        <v>178351</v>
      </c>
      <c r="X326" s="252">
        <v>8807</v>
      </c>
      <c r="Y326" s="252">
        <v>39330</v>
      </c>
      <c r="Z326" s="253">
        <v>131209</v>
      </c>
      <c r="AA326" s="262">
        <v>6084</v>
      </c>
      <c r="AB326" s="272">
        <v>174785.48726780142</v>
      </c>
    </row>
    <row r="327" spans="1:28" ht="13.5" customHeight="1">
      <c r="A327" s="20">
        <v>11</v>
      </c>
      <c r="B327" s="21" t="s">
        <v>48</v>
      </c>
      <c r="C327" s="255">
        <v>2924</v>
      </c>
      <c r="D327" s="256">
        <v>3</v>
      </c>
      <c r="E327" s="256">
        <v>632</v>
      </c>
      <c r="F327" s="256">
        <v>100</v>
      </c>
      <c r="G327" s="256">
        <v>8793</v>
      </c>
      <c r="H327" s="256">
        <v>3301</v>
      </c>
      <c r="I327" s="256">
        <v>12731</v>
      </c>
      <c r="J327" s="256">
        <v>4367</v>
      </c>
      <c r="K327" s="256">
        <v>3937</v>
      </c>
      <c r="L327" s="256">
        <v>2070</v>
      </c>
      <c r="M327" s="256">
        <v>1383</v>
      </c>
      <c r="N327" s="256">
        <v>513</v>
      </c>
      <c r="O327" s="256">
        <v>11839</v>
      </c>
      <c r="P327" s="256">
        <v>2205</v>
      </c>
      <c r="Q327" s="256">
        <v>9273</v>
      </c>
      <c r="R327" s="256">
        <v>3508</v>
      </c>
      <c r="S327" s="256">
        <v>9364</v>
      </c>
      <c r="T327" s="256">
        <v>5242</v>
      </c>
      <c r="U327" s="256">
        <v>82185</v>
      </c>
      <c r="V327" s="257">
        <v>-455</v>
      </c>
      <c r="W327" s="258">
        <v>81730</v>
      </c>
      <c r="X327" s="256">
        <v>3559</v>
      </c>
      <c r="Y327" s="256">
        <v>21624</v>
      </c>
      <c r="Z327" s="257">
        <v>57002</v>
      </c>
      <c r="AA327" s="263">
        <v>4964</v>
      </c>
      <c r="AB327" s="273">
        <v>80477.295078182418</v>
      </c>
    </row>
    <row r="328" spans="1:28" ht="13.5" customHeight="1">
      <c r="A328" s="18">
        <v>12</v>
      </c>
      <c r="B328" s="19" t="s">
        <v>17</v>
      </c>
      <c r="C328" s="247">
        <v>2054</v>
      </c>
      <c r="D328" s="248">
        <v>77</v>
      </c>
      <c r="E328" s="248">
        <v>53</v>
      </c>
      <c r="F328" s="248">
        <v>184</v>
      </c>
      <c r="G328" s="248">
        <v>151</v>
      </c>
      <c r="H328" s="248">
        <v>473</v>
      </c>
      <c r="I328" s="248">
        <v>2245</v>
      </c>
      <c r="J328" s="248">
        <v>481</v>
      </c>
      <c r="K328" s="248">
        <v>137</v>
      </c>
      <c r="L328" s="248">
        <v>1807</v>
      </c>
      <c r="M328" s="248">
        <v>0</v>
      </c>
      <c r="N328" s="248">
        <v>133</v>
      </c>
      <c r="O328" s="248">
        <v>1073</v>
      </c>
      <c r="P328" s="248">
        <v>201</v>
      </c>
      <c r="Q328" s="248">
        <v>1322</v>
      </c>
      <c r="R328" s="248">
        <v>1034</v>
      </c>
      <c r="S328" s="248">
        <v>825</v>
      </c>
      <c r="T328" s="248">
        <v>584</v>
      </c>
      <c r="U328" s="248">
        <v>12834</v>
      </c>
      <c r="V328" s="249">
        <v>-71</v>
      </c>
      <c r="W328" s="250">
        <v>12763</v>
      </c>
      <c r="X328" s="248">
        <v>2184</v>
      </c>
      <c r="Y328" s="248">
        <v>2580</v>
      </c>
      <c r="Z328" s="249">
        <v>8070</v>
      </c>
      <c r="AA328" s="261">
        <v>4321</v>
      </c>
      <c r="AB328" s="271">
        <v>12317.959472859933</v>
      </c>
    </row>
    <row r="329" spans="1:28" ht="13.5" customHeight="1">
      <c r="A329" s="18">
        <v>13</v>
      </c>
      <c r="B329" s="19" t="s">
        <v>18</v>
      </c>
      <c r="C329" s="251">
        <v>1429</v>
      </c>
      <c r="D329" s="252">
        <v>7</v>
      </c>
      <c r="E329" s="252">
        <v>274</v>
      </c>
      <c r="F329" s="252">
        <v>0</v>
      </c>
      <c r="G329" s="252">
        <v>197</v>
      </c>
      <c r="H329" s="252">
        <v>258</v>
      </c>
      <c r="I329" s="252">
        <v>963</v>
      </c>
      <c r="J329" s="252">
        <v>191</v>
      </c>
      <c r="K329" s="252">
        <v>452</v>
      </c>
      <c r="L329" s="252">
        <v>96</v>
      </c>
      <c r="M329" s="252">
        <v>0</v>
      </c>
      <c r="N329" s="252">
        <v>3</v>
      </c>
      <c r="O329" s="252">
        <v>739</v>
      </c>
      <c r="P329" s="252">
        <v>229</v>
      </c>
      <c r="Q329" s="252">
        <v>828</v>
      </c>
      <c r="R329" s="252">
        <v>647</v>
      </c>
      <c r="S329" s="252">
        <v>846</v>
      </c>
      <c r="T329" s="252">
        <v>305</v>
      </c>
      <c r="U329" s="252">
        <v>7464</v>
      </c>
      <c r="V329" s="253">
        <v>-42</v>
      </c>
      <c r="W329" s="254">
        <v>7422</v>
      </c>
      <c r="X329" s="252">
        <v>1710</v>
      </c>
      <c r="Y329" s="252">
        <v>1160</v>
      </c>
      <c r="Z329" s="253">
        <v>4594</v>
      </c>
      <c r="AA329" s="262">
        <v>4174</v>
      </c>
      <c r="AB329" s="272">
        <v>7084.587824021597</v>
      </c>
    </row>
    <row r="330" spans="1:28" ht="13.5" customHeight="1">
      <c r="A330" s="18">
        <v>14</v>
      </c>
      <c r="B330" s="19" t="s">
        <v>19</v>
      </c>
      <c r="C330" s="251">
        <v>789</v>
      </c>
      <c r="D330" s="252">
        <v>5</v>
      </c>
      <c r="E330" s="252">
        <v>30</v>
      </c>
      <c r="F330" s="252">
        <v>0</v>
      </c>
      <c r="G330" s="252">
        <v>426</v>
      </c>
      <c r="H330" s="252">
        <v>38</v>
      </c>
      <c r="I330" s="252">
        <v>1082</v>
      </c>
      <c r="J330" s="252">
        <v>107</v>
      </c>
      <c r="K330" s="252">
        <v>121</v>
      </c>
      <c r="L330" s="252">
        <v>272</v>
      </c>
      <c r="M330" s="252">
        <v>0</v>
      </c>
      <c r="N330" s="252">
        <v>3</v>
      </c>
      <c r="O330" s="252">
        <v>348</v>
      </c>
      <c r="P330" s="252">
        <v>1469</v>
      </c>
      <c r="Q330" s="252">
        <v>751</v>
      </c>
      <c r="R330" s="252">
        <v>535</v>
      </c>
      <c r="S330" s="252">
        <v>314</v>
      </c>
      <c r="T330" s="252">
        <v>248</v>
      </c>
      <c r="U330" s="252">
        <v>6538</v>
      </c>
      <c r="V330" s="253">
        <v>-37</v>
      </c>
      <c r="W330" s="254">
        <v>6501</v>
      </c>
      <c r="X330" s="252">
        <v>824</v>
      </c>
      <c r="Y330" s="252">
        <v>1508</v>
      </c>
      <c r="Z330" s="253">
        <v>4206</v>
      </c>
      <c r="AA330" s="262">
        <v>5209</v>
      </c>
      <c r="AB330" s="272">
        <v>6316.594004882947</v>
      </c>
    </row>
    <row r="331" spans="1:28" ht="13.5" customHeight="1">
      <c r="A331" s="18">
        <v>15</v>
      </c>
      <c r="B331" s="19" t="s">
        <v>20</v>
      </c>
      <c r="C331" s="251">
        <v>2001</v>
      </c>
      <c r="D331" s="252">
        <v>7</v>
      </c>
      <c r="E331" s="252">
        <v>113</v>
      </c>
      <c r="F331" s="252">
        <v>11</v>
      </c>
      <c r="G331" s="252">
        <v>804</v>
      </c>
      <c r="H331" s="252">
        <v>641</v>
      </c>
      <c r="I331" s="252">
        <v>3332</v>
      </c>
      <c r="J331" s="252">
        <v>615</v>
      </c>
      <c r="K331" s="252">
        <v>413</v>
      </c>
      <c r="L331" s="252">
        <v>1363</v>
      </c>
      <c r="M331" s="252">
        <v>1</v>
      </c>
      <c r="N331" s="252">
        <v>96</v>
      </c>
      <c r="O331" s="252">
        <v>2106</v>
      </c>
      <c r="P331" s="252">
        <v>1001</v>
      </c>
      <c r="Q331" s="252">
        <v>1290</v>
      </c>
      <c r="R331" s="252">
        <v>1223</v>
      </c>
      <c r="S331" s="252">
        <v>2247</v>
      </c>
      <c r="T331" s="252">
        <v>1563</v>
      </c>
      <c r="U331" s="252">
        <v>18827</v>
      </c>
      <c r="V331" s="253">
        <v>-105</v>
      </c>
      <c r="W331" s="254">
        <v>18722</v>
      </c>
      <c r="X331" s="252">
        <v>2121</v>
      </c>
      <c r="Y331" s="252">
        <v>4147</v>
      </c>
      <c r="Z331" s="253">
        <v>12559</v>
      </c>
      <c r="AA331" s="262">
        <v>4051</v>
      </c>
      <c r="AB331" s="272">
        <v>18199.07430382743</v>
      </c>
    </row>
    <row r="332" spans="1:28" ht="13.5" customHeight="1">
      <c r="A332" s="18">
        <v>16</v>
      </c>
      <c r="B332" s="19" t="s">
        <v>21</v>
      </c>
      <c r="C332" s="251">
        <v>1336</v>
      </c>
      <c r="D332" s="252">
        <v>2</v>
      </c>
      <c r="E332" s="252">
        <v>393</v>
      </c>
      <c r="F332" s="252">
        <v>1064</v>
      </c>
      <c r="G332" s="252">
        <v>1328</v>
      </c>
      <c r="H332" s="252">
        <v>1165</v>
      </c>
      <c r="I332" s="252">
        <v>5220</v>
      </c>
      <c r="J332" s="252">
        <v>1776</v>
      </c>
      <c r="K332" s="252">
        <v>1547</v>
      </c>
      <c r="L332" s="252">
        <v>3930</v>
      </c>
      <c r="M332" s="252">
        <v>0</v>
      </c>
      <c r="N332" s="252">
        <v>492</v>
      </c>
      <c r="O332" s="252">
        <v>3632</v>
      </c>
      <c r="P332" s="252">
        <v>2220</v>
      </c>
      <c r="Q332" s="252">
        <v>2096</v>
      </c>
      <c r="R332" s="252">
        <v>2003</v>
      </c>
      <c r="S332" s="252">
        <v>4499</v>
      </c>
      <c r="T332" s="252">
        <v>6219</v>
      </c>
      <c r="U332" s="252">
        <v>38922</v>
      </c>
      <c r="V332" s="253">
        <v>-215</v>
      </c>
      <c r="W332" s="254">
        <v>38707</v>
      </c>
      <c r="X332" s="252">
        <v>1731</v>
      </c>
      <c r="Y332" s="252">
        <v>7612</v>
      </c>
      <c r="Z332" s="253">
        <v>29579</v>
      </c>
      <c r="AA332" s="262">
        <v>4529</v>
      </c>
      <c r="AB332" s="272">
        <v>37950.218498277027</v>
      </c>
    </row>
    <row r="333" spans="1:28" ht="13.5" customHeight="1">
      <c r="A333" s="18">
        <v>17</v>
      </c>
      <c r="B333" s="19" t="s">
        <v>22</v>
      </c>
      <c r="C333" s="251">
        <v>740</v>
      </c>
      <c r="D333" s="252">
        <v>12</v>
      </c>
      <c r="E333" s="252">
        <v>353</v>
      </c>
      <c r="F333" s="252">
        <v>100</v>
      </c>
      <c r="G333" s="252">
        <v>367</v>
      </c>
      <c r="H333" s="252">
        <v>672</v>
      </c>
      <c r="I333" s="252">
        <v>7371</v>
      </c>
      <c r="J333" s="252">
        <v>1583</v>
      </c>
      <c r="K333" s="252">
        <v>1317</v>
      </c>
      <c r="L333" s="252">
        <v>12311</v>
      </c>
      <c r="M333" s="252">
        <v>133</v>
      </c>
      <c r="N333" s="252">
        <v>146</v>
      </c>
      <c r="O333" s="252">
        <v>4671</v>
      </c>
      <c r="P333" s="252">
        <v>1723</v>
      </c>
      <c r="Q333" s="252">
        <v>3511</v>
      </c>
      <c r="R333" s="252">
        <v>8462</v>
      </c>
      <c r="S333" s="252">
        <v>1433</v>
      </c>
      <c r="T333" s="252">
        <v>3921</v>
      </c>
      <c r="U333" s="252">
        <v>48826</v>
      </c>
      <c r="V333" s="253">
        <v>-271</v>
      </c>
      <c r="W333" s="254">
        <v>48555</v>
      </c>
      <c r="X333" s="252">
        <v>1105</v>
      </c>
      <c r="Y333" s="252">
        <v>7838</v>
      </c>
      <c r="Z333" s="253">
        <v>39883</v>
      </c>
      <c r="AA333" s="262">
        <v>4665</v>
      </c>
      <c r="AB333" s="272">
        <v>47467.419128662463</v>
      </c>
    </row>
    <row r="334" spans="1:28" ht="13.5" customHeight="1">
      <c r="A334" s="18">
        <v>18</v>
      </c>
      <c r="B334" s="19" t="s">
        <v>23</v>
      </c>
      <c r="C334" s="251">
        <v>707</v>
      </c>
      <c r="D334" s="252">
        <v>4</v>
      </c>
      <c r="E334" s="252">
        <v>181</v>
      </c>
      <c r="F334" s="252">
        <v>16</v>
      </c>
      <c r="G334" s="252">
        <v>199</v>
      </c>
      <c r="H334" s="252">
        <v>520</v>
      </c>
      <c r="I334" s="252">
        <v>3254</v>
      </c>
      <c r="J334" s="252">
        <v>471</v>
      </c>
      <c r="K334" s="252">
        <v>1830</v>
      </c>
      <c r="L334" s="252">
        <v>277</v>
      </c>
      <c r="M334" s="252">
        <v>926</v>
      </c>
      <c r="N334" s="252">
        <v>40</v>
      </c>
      <c r="O334" s="252">
        <v>1518</v>
      </c>
      <c r="P334" s="252">
        <v>1440</v>
      </c>
      <c r="Q334" s="252">
        <v>1480</v>
      </c>
      <c r="R334" s="252">
        <v>1152</v>
      </c>
      <c r="S334" s="252">
        <v>1953</v>
      </c>
      <c r="T334" s="252">
        <v>1006</v>
      </c>
      <c r="U334" s="252">
        <v>16974</v>
      </c>
      <c r="V334" s="253">
        <v>-94</v>
      </c>
      <c r="W334" s="254">
        <v>16880</v>
      </c>
      <c r="X334" s="252">
        <v>892</v>
      </c>
      <c r="Y334" s="252">
        <v>3469</v>
      </c>
      <c r="Z334" s="253">
        <v>12613</v>
      </c>
      <c r="AA334" s="262">
        <v>5710</v>
      </c>
      <c r="AB334" s="272">
        <v>16573.742646846898</v>
      </c>
    </row>
    <row r="335" spans="1:28" ht="13.5" customHeight="1">
      <c r="A335" s="18">
        <v>19</v>
      </c>
      <c r="B335" s="19" t="s">
        <v>24</v>
      </c>
      <c r="C335" s="251">
        <v>828</v>
      </c>
      <c r="D335" s="252">
        <v>0</v>
      </c>
      <c r="E335" s="252">
        <v>79</v>
      </c>
      <c r="F335" s="252">
        <v>47</v>
      </c>
      <c r="G335" s="252">
        <v>688</v>
      </c>
      <c r="H335" s="252">
        <v>10355</v>
      </c>
      <c r="I335" s="252">
        <v>4769</v>
      </c>
      <c r="J335" s="252">
        <v>1128</v>
      </c>
      <c r="K335" s="252">
        <v>2575</v>
      </c>
      <c r="L335" s="252">
        <v>961</v>
      </c>
      <c r="M335" s="252">
        <v>312</v>
      </c>
      <c r="N335" s="252">
        <v>297</v>
      </c>
      <c r="O335" s="252">
        <v>3435</v>
      </c>
      <c r="P335" s="252">
        <v>519</v>
      </c>
      <c r="Q335" s="252">
        <v>1945</v>
      </c>
      <c r="R335" s="252">
        <v>1552</v>
      </c>
      <c r="S335" s="252">
        <v>5700</v>
      </c>
      <c r="T335" s="252">
        <v>1390</v>
      </c>
      <c r="U335" s="252">
        <v>36580</v>
      </c>
      <c r="V335" s="253">
        <v>-203</v>
      </c>
      <c r="W335" s="254">
        <v>36377</v>
      </c>
      <c r="X335" s="252">
        <v>907</v>
      </c>
      <c r="Y335" s="252">
        <v>5504</v>
      </c>
      <c r="Z335" s="253">
        <v>30169</v>
      </c>
      <c r="AA335" s="262">
        <v>6323</v>
      </c>
      <c r="AB335" s="272">
        <v>36176.928187635582</v>
      </c>
    </row>
    <row r="336" spans="1:28" ht="13.5" customHeight="1">
      <c r="A336" s="20">
        <v>20</v>
      </c>
      <c r="B336" s="21" t="s">
        <v>25</v>
      </c>
      <c r="C336" s="255">
        <v>2188</v>
      </c>
      <c r="D336" s="256">
        <v>2</v>
      </c>
      <c r="E336" s="256">
        <v>129</v>
      </c>
      <c r="F336" s="256">
        <v>21</v>
      </c>
      <c r="G336" s="256">
        <v>356</v>
      </c>
      <c r="H336" s="256">
        <v>341</v>
      </c>
      <c r="I336" s="256">
        <v>1336</v>
      </c>
      <c r="J336" s="256">
        <v>691</v>
      </c>
      <c r="K336" s="256">
        <v>530</v>
      </c>
      <c r="L336" s="256">
        <v>691</v>
      </c>
      <c r="M336" s="256">
        <v>35</v>
      </c>
      <c r="N336" s="256">
        <v>16</v>
      </c>
      <c r="O336" s="256">
        <v>1128</v>
      </c>
      <c r="P336" s="256">
        <v>302</v>
      </c>
      <c r="Q336" s="256">
        <v>1281</v>
      </c>
      <c r="R336" s="256">
        <v>600</v>
      </c>
      <c r="S336" s="256">
        <v>907</v>
      </c>
      <c r="T336" s="256">
        <v>712</v>
      </c>
      <c r="U336" s="256">
        <v>11266</v>
      </c>
      <c r="V336" s="257">
        <v>-63</v>
      </c>
      <c r="W336" s="258">
        <v>11203</v>
      </c>
      <c r="X336" s="256">
        <v>2319</v>
      </c>
      <c r="Y336" s="256">
        <v>1713</v>
      </c>
      <c r="Z336" s="257">
        <v>7234</v>
      </c>
      <c r="AA336" s="263">
        <v>3872</v>
      </c>
      <c r="AB336" s="273">
        <v>10781.300457004185</v>
      </c>
    </row>
    <row r="337" spans="1:28" ht="13.5" customHeight="1">
      <c r="A337" s="18">
        <v>21</v>
      </c>
      <c r="B337" s="19" t="s">
        <v>26</v>
      </c>
      <c r="C337" s="247">
        <v>1034</v>
      </c>
      <c r="D337" s="248">
        <v>3</v>
      </c>
      <c r="E337" s="248">
        <v>116</v>
      </c>
      <c r="F337" s="248">
        <v>168</v>
      </c>
      <c r="G337" s="248">
        <v>7085</v>
      </c>
      <c r="H337" s="248">
        <v>2227</v>
      </c>
      <c r="I337" s="248">
        <v>9211</v>
      </c>
      <c r="J337" s="248">
        <v>3811</v>
      </c>
      <c r="K337" s="248">
        <v>807</v>
      </c>
      <c r="L337" s="248">
        <v>4739</v>
      </c>
      <c r="M337" s="248">
        <v>58</v>
      </c>
      <c r="N337" s="248">
        <v>635</v>
      </c>
      <c r="O337" s="248">
        <v>14292</v>
      </c>
      <c r="P337" s="248">
        <v>2290</v>
      </c>
      <c r="Q337" s="248">
        <v>3230</v>
      </c>
      <c r="R337" s="248">
        <v>3922</v>
      </c>
      <c r="S337" s="248">
        <v>5312</v>
      </c>
      <c r="T337" s="248">
        <v>6112</v>
      </c>
      <c r="U337" s="248">
        <v>65052</v>
      </c>
      <c r="V337" s="249">
        <v>-360</v>
      </c>
      <c r="W337" s="250">
        <v>64692</v>
      </c>
      <c r="X337" s="248">
        <v>1153</v>
      </c>
      <c r="Y337" s="248">
        <v>16464</v>
      </c>
      <c r="Z337" s="249">
        <v>47435</v>
      </c>
      <c r="AA337" s="261">
        <v>4966</v>
      </c>
      <c r="AB337" s="271">
        <v>63944.984470061361</v>
      </c>
    </row>
    <row r="338" spans="1:28" ht="13.5" customHeight="1">
      <c r="A338" s="18">
        <v>22</v>
      </c>
      <c r="B338" s="19" t="s">
        <v>27</v>
      </c>
      <c r="C338" s="251">
        <v>45</v>
      </c>
      <c r="D338" s="252">
        <v>0</v>
      </c>
      <c r="E338" s="252">
        <v>9</v>
      </c>
      <c r="F338" s="252">
        <v>0</v>
      </c>
      <c r="G338" s="252">
        <v>909</v>
      </c>
      <c r="H338" s="252">
        <v>833</v>
      </c>
      <c r="I338" s="252">
        <v>4419</v>
      </c>
      <c r="J338" s="252">
        <v>1725</v>
      </c>
      <c r="K338" s="252">
        <v>474</v>
      </c>
      <c r="L338" s="252">
        <v>968</v>
      </c>
      <c r="M338" s="252">
        <v>727</v>
      </c>
      <c r="N338" s="252">
        <v>1734</v>
      </c>
      <c r="O338" s="252">
        <v>4128</v>
      </c>
      <c r="P338" s="252">
        <v>3184</v>
      </c>
      <c r="Q338" s="252">
        <v>11005</v>
      </c>
      <c r="R338" s="252">
        <v>1829</v>
      </c>
      <c r="S338" s="252">
        <v>4079</v>
      </c>
      <c r="T338" s="252">
        <v>2002</v>
      </c>
      <c r="U338" s="252">
        <v>38070</v>
      </c>
      <c r="V338" s="253">
        <v>-211</v>
      </c>
      <c r="W338" s="254">
        <v>37859</v>
      </c>
      <c r="X338" s="252">
        <v>54</v>
      </c>
      <c r="Y338" s="252">
        <v>5328</v>
      </c>
      <c r="Z338" s="253">
        <v>32688</v>
      </c>
      <c r="AA338" s="262">
        <v>4893</v>
      </c>
      <c r="AB338" s="272">
        <v>37509.532001038948</v>
      </c>
    </row>
    <row r="339" spans="1:28" ht="13.5" customHeight="1">
      <c r="A339" s="18">
        <v>23</v>
      </c>
      <c r="B339" s="19" t="s">
        <v>28</v>
      </c>
      <c r="C339" s="251">
        <v>1</v>
      </c>
      <c r="D339" s="252">
        <v>1</v>
      </c>
      <c r="E339" s="252">
        <v>102</v>
      </c>
      <c r="F339" s="252">
        <v>16</v>
      </c>
      <c r="G339" s="252">
        <v>504</v>
      </c>
      <c r="H339" s="252">
        <v>6164</v>
      </c>
      <c r="I339" s="252">
        <v>9248</v>
      </c>
      <c r="J339" s="252">
        <v>8628</v>
      </c>
      <c r="K339" s="252">
        <v>862</v>
      </c>
      <c r="L339" s="252">
        <v>8005</v>
      </c>
      <c r="M339" s="252">
        <v>3279</v>
      </c>
      <c r="N339" s="252">
        <v>2489</v>
      </c>
      <c r="O339" s="252">
        <v>15248</v>
      </c>
      <c r="P339" s="252">
        <v>7859</v>
      </c>
      <c r="Q339" s="252">
        <v>2815</v>
      </c>
      <c r="R339" s="252">
        <v>3057</v>
      </c>
      <c r="S339" s="252">
        <v>6343</v>
      </c>
      <c r="T339" s="252">
        <v>7110</v>
      </c>
      <c r="U339" s="252">
        <v>81731</v>
      </c>
      <c r="V339" s="253">
        <v>-453</v>
      </c>
      <c r="W339" s="254">
        <v>81278</v>
      </c>
      <c r="X339" s="252">
        <v>104</v>
      </c>
      <c r="Y339" s="252">
        <v>9768</v>
      </c>
      <c r="Z339" s="253">
        <v>71859</v>
      </c>
      <c r="AA339" s="262">
        <v>5658</v>
      </c>
      <c r="AB339" s="272">
        <v>80434.730551639223</v>
      </c>
    </row>
    <row r="340" spans="1:28" ht="13.5" customHeight="1">
      <c r="A340" s="18">
        <v>24</v>
      </c>
      <c r="B340" s="19" t="s">
        <v>29</v>
      </c>
      <c r="C340" s="251">
        <v>41</v>
      </c>
      <c r="D340" s="252">
        <v>1</v>
      </c>
      <c r="E340" s="252">
        <v>89</v>
      </c>
      <c r="F340" s="252">
        <v>11</v>
      </c>
      <c r="G340" s="252">
        <v>341</v>
      </c>
      <c r="H340" s="252">
        <v>982</v>
      </c>
      <c r="I340" s="252">
        <v>4083</v>
      </c>
      <c r="J340" s="252">
        <v>2588</v>
      </c>
      <c r="K340" s="252">
        <v>1331</v>
      </c>
      <c r="L340" s="252">
        <v>4020</v>
      </c>
      <c r="M340" s="252">
        <v>130</v>
      </c>
      <c r="N340" s="252">
        <v>615</v>
      </c>
      <c r="O340" s="252">
        <v>6085</v>
      </c>
      <c r="P340" s="252">
        <v>1487</v>
      </c>
      <c r="Q340" s="252">
        <v>1647</v>
      </c>
      <c r="R340" s="252">
        <v>3707</v>
      </c>
      <c r="S340" s="252">
        <v>7448</v>
      </c>
      <c r="T340" s="252">
        <v>2866</v>
      </c>
      <c r="U340" s="252">
        <v>37472</v>
      </c>
      <c r="V340" s="253">
        <v>-207</v>
      </c>
      <c r="W340" s="254">
        <v>37265</v>
      </c>
      <c r="X340" s="252">
        <v>131</v>
      </c>
      <c r="Y340" s="252">
        <v>4435</v>
      </c>
      <c r="Z340" s="253">
        <v>32906</v>
      </c>
      <c r="AA340" s="262">
        <v>4734</v>
      </c>
      <c r="AB340" s="272">
        <v>36746.940917093903</v>
      </c>
    </row>
    <row r="341" spans="1:28" ht="13.5" customHeight="1">
      <c r="A341" s="18">
        <v>25</v>
      </c>
      <c r="B341" s="19" t="s">
        <v>30</v>
      </c>
      <c r="C341" s="251">
        <v>231</v>
      </c>
      <c r="D341" s="252">
        <v>0</v>
      </c>
      <c r="E341" s="252">
        <v>17</v>
      </c>
      <c r="F341" s="252">
        <v>232</v>
      </c>
      <c r="G341" s="252">
        <v>5736</v>
      </c>
      <c r="H341" s="252">
        <v>13776</v>
      </c>
      <c r="I341" s="252">
        <v>5548</v>
      </c>
      <c r="J341" s="252">
        <v>3423</v>
      </c>
      <c r="K341" s="252">
        <v>1397</v>
      </c>
      <c r="L341" s="252">
        <v>866</v>
      </c>
      <c r="M341" s="252">
        <v>942</v>
      </c>
      <c r="N341" s="252">
        <v>401</v>
      </c>
      <c r="O341" s="252">
        <v>6848</v>
      </c>
      <c r="P341" s="252">
        <v>1898</v>
      </c>
      <c r="Q341" s="252">
        <v>1601</v>
      </c>
      <c r="R341" s="252">
        <v>1675</v>
      </c>
      <c r="S341" s="252">
        <v>9697</v>
      </c>
      <c r="T341" s="252">
        <v>3846</v>
      </c>
      <c r="U341" s="252">
        <v>58134</v>
      </c>
      <c r="V341" s="253">
        <v>-322</v>
      </c>
      <c r="W341" s="254">
        <v>57812</v>
      </c>
      <c r="X341" s="252">
        <v>248</v>
      </c>
      <c r="Y341" s="252">
        <v>11516</v>
      </c>
      <c r="Z341" s="253">
        <v>46370</v>
      </c>
      <c r="AA341" s="262">
        <v>6707</v>
      </c>
      <c r="AB341" s="272">
        <v>57662.13989652515</v>
      </c>
    </row>
    <row r="342" spans="1:28" ht="13.5" customHeight="1">
      <c r="A342" s="20">
        <v>26</v>
      </c>
      <c r="B342" s="21" t="s">
        <v>31</v>
      </c>
      <c r="C342" s="255">
        <v>223</v>
      </c>
      <c r="D342" s="256">
        <v>2</v>
      </c>
      <c r="E342" s="256">
        <v>120</v>
      </c>
      <c r="F342" s="256">
        <v>21</v>
      </c>
      <c r="G342" s="256">
        <v>19819</v>
      </c>
      <c r="H342" s="256">
        <v>5179</v>
      </c>
      <c r="I342" s="256">
        <v>7534</v>
      </c>
      <c r="J342" s="256">
        <v>14214</v>
      </c>
      <c r="K342" s="256">
        <v>6221</v>
      </c>
      <c r="L342" s="256">
        <v>2030</v>
      </c>
      <c r="M342" s="256">
        <v>473</v>
      </c>
      <c r="N342" s="256">
        <v>1601</v>
      </c>
      <c r="O342" s="256">
        <v>9331</v>
      </c>
      <c r="P342" s="256">
        <v>4086</v>
      </c>
      <c r="Q342" s="256">
        <v>2655</v>
      </c>
      <c r="R342" s="256">
        <v>21265</v>
      </c>
      <c r="S342" s="256">
        <v>16852</v>
      </c>
      <c r="T342" s="256">
        <v>5256</v>
      </c>
      <c r="U342" s="256">
        <v>116882</v>
      </c>
      <c r="V342" s="257">
        <v>-648</v>
      </c>
      <c r="W342" s="258">
        <v>116234</v>
      </c>
      <c r="X342" s="256">
        <v>345</v>
      </c>
      <c r="Y342" s="256">
        <v>27374</v>
      </c>
      <c r="Z342" s="257">
        <v>89163</v>
      </c>
      <c r="AA342" s="263">
        <v>5346</v>
      </c>
      <c r="AB342" s="273">
        <v>115183.49235247892</v>
      </c>
    </row>
    <row r="343" spans="1:28" ht="13.5" customHeight="1">
      <c r="A343" s="18">
        <v>27</v>
      </c>
      <c r="B343" s="19" t="s">
        <v>32</v>
      </c>
      <c r="C343" s="247">
        <v>163</v>
      </c>
      <c r="D343" s="248">
        <v>0</v>
      </c>
      <c r="E343" s="248">
        <v>217</v>
      </c>
      <c r="F343" s="248">
        <v>11</v>
      </c>
      <c r="G343" s="248">
        <v>853</v>
      </c>
      <c r="H343" s="248">
        <v>867</v>
      </c>
      <c r="I343" s="248">
        <v>4540</v>
      </c>
      <c r="J343" s="248">
        <v>4827</v>
      </c>
      <c r="K343" s="248">
        <v>740</v>
      </c>
      <c r="L343" s="248">
        <v>1663</v>
      </c>
      <c r="M343" s="248">
        <v>153</v>
      </c>
      <c r="N343" s="248">
        <v>1107</v>
      </c>
      <c r="O343" s="248">
        <v>6629</v>
      </c>
      <c r="P343" s="248">
        <v>1111</v>
      </c>
      <c r="Q343" s="248">
        <v>2997</v>
      </c>
      <c r="R343" s="248">
        <v>3496</v>
      </c>
      <c r="S343" s="248">
        <v>6054</v>
      </c>
      <c r="T343" s="248">
        <v>2319</v>
      </c>
      <c r="U343" s="248">
        <v>37747</v>
      </c>
      <c r="V343" s="249">
        <v>-209</v>
      </c>
      <c r="W343" s="250">
        <v>37538</v>
      </c>
      <c r="X343" s="248">
        <v>380</v>
      </c>
      <c r="Y343" s="248">
        <v>5404</v>
      </c>
      <c r="Z343" s="249">
        <v>31963</v>
      </c>
      <c r="AA343" s="261">
        <v>5345</v>
      </c>
      <c r="AB343" s="271">
        <v>37070.347508924548</v>
      </c>
    </row>
    <row r="344" spans="1:28" ht="13.5" customHeight="1">
      <c r="A344" s="18">
        <v>28</v>
      </c>
      <c r="B344" s="19" t="s">
        <v>33</v>
      </c>
      <c r="C344" s="251">
        <v>973</v>
      </c>
      <c r="D344" s="252">
        <v>5</v>
      </c>
      <c r="E344" s="252">
        <v>0</v>
      </c>
      <c r="F344" s="252">
        <v>47</v>
      </c>
      <c r="G344" s="252">
        <v>4568</v>
      </c>
      <c r="H344" s="252">
        <v>2801</v>
      </c>
      <c r="I344" s="252">
        <v>10586</v>
      </c>
      <c r="J344" s="252">
        <v>13051</v>
      </c>
      <c r="K344" s="252">
        <v>3414</v>
      </c>
      <c r="L344" s="252">
        <v>3284</v>
      </c>
      <c r="M344" s="252">
        <v>431</v>
      </c>
      <c r="N344" s="252">
        <v>1730</v>
      </c>
      <c r="O344" s="252">
        <v>11776</v>
      </c>
      <c r="P344" s="252">
        <v>4335</v>
      </c>
      <c r="Q344" s="252">
        <v>2952</v>
      </c>
      <c r="R344" s="252">
        <v>5288</v>
      </c>
      <c r="S344" s="252">
        <v>25096</v>
      </c>
      <c r="T344" s="252">
        <v>6801</v>
      </c>
      <c r="U344" s="252">
        <v>97138</v>
      </c>
      <c r="V344" s="253">
        <v>-538</v>
      </c>
      <c r="W344" s="254">
        <v>96600</v>
      </c>
      <c r="X344" s="252">
        <v>978</v>
      </c>
      <c r="Y344" s="252">
        <v>15201</v>
      </c>
      <c r="Z344" s="253">
        <v>80959</v>
      </c>
      <c r="AA344" s="262">
        <v>5160</v>
      </c>
      <c r="AB344" s="272">
        <v>95430.429770595161</v>
      </c>
    </row>
    <row r="345" spans="1:28" ht="13.5" customHeight="1">
      <c r="A345" s="18">
        <v>29</v>
      </c>
      <c r="B345" s="19" t="s">
        <v>34</v>
      </c>
      <c r="C345" s="251">
        <v>4</v>
      </c>
      <c r="D345" s="252">
        <v>4</v>
      </c>
      <c r="E345" s="252">
        <v>21</v>
      </c>
      <c r="F345" s="252">
        <v>0</v>
      </c>
      <c r="G345" s="252">
        <v>14</v>
      </c>
      <c r="H345" s="252">
        <v>122</v>
      </c>
      <c r="I345" s="252">
        <v>459</v>
      </c>
      <c r="J345" s="252">
        <v>29</v>
      </c>
      <c r="K345" s="252">
        <v>186</v>
      </c>
      <c r="L345" s="252">
        <v>535</v>
      </c>
      <c r="M345" s="252">
        <v>1</v>
      </c>
      <c r="N345" s="252">
        <v>4</v>
      </c>
      <c r="O345" s="252">
        <v>100</v>
      </c>
      <c r="P345" s="252">
        <v>106</v>
      </c>
      <c r="Q345" s="252">
        <v>450</v>
      </c>
      <c r="R345" s="252">
        <v>337</v>
      </c>
      <c r="S345" s="252">
        <v>170</v>
      </c>
      <c r="T345" s="252">
        <v>544</v>
      </c>
      <c r="U345" s="252">
        <v>3086</v>
      </c>
      <c r="V345" s="253">
        <v>-17</v>
      </c>
      <c r="W345" s="254">
        <v>3069</v>
      </c>
      <c r="X345" s="252">
        <v>29</v>
      </c>
      <c r="Y345" s="252">
        <v>473</v>
      </c>
      <c r="Z345" s="253">
        <v>2584</v>
      </c>
      <c r="AA345" s="262">
        <v>5282</v>
      </c>
      <c r="AB345" s="272">
        <v>3011.4649259908347</v>
      </c>
    </row>
    <row r="346" spans="1:28" ht="13.5" customHeight="1">
      <c r="A346" s="18">
        <v>30</v>
      </c>
      <c r="B346" s="19" t="s">
        <v>35</v>
      </c>
      <c r="C346" s="251">
        <v>2</v>
      </c>
      <c r="D346" s="252">
        <v>0</v>
      </c>
      <c r="E346" s="252">
        <v>36</v>
      </c>
      <c r="F346" s="252">
        <v>0</v>
      </c>
      <c r="G346" s="252">
        <v>15</v>
      </c>
      <c r="H346" s="252">
        <v>201</v>
      </c>
      <c r="I346" s="252">
        <v>523</v>
      </c>
      <c r="J346" s="252">
        <v>99</v>
      </c>
      <c r="K346" s="252">
        <v>192</v>
      </c>
      <c r="L346" s="252">
        <v>903</v>
      </c>
      <c r="M346" s="252">
        <v>0</v>
      </c>
      <c r="N346" s="252">
        <v>7</v>
      </c>
      <c r="O346" s="252">
        <v>192</v>
      </c>
      <c r="P346" s="252">
        <v>165</v>
      </c>
      <c r="Q346" s="252">
        <v>419</v>
      </c>
      <c r="R346" s="252">
        <v>530</v>
      </c>
      <c r="S346" s="252">
        <v>190</v>
      </c>
      <c r="T346" s="252">
        <v>815</v>
      </c>
      <c r="U346" s="252">
        <v>4289</v>
      </c>
      <c r="V346" s="253">
        <v>-24</v>
      </c>
      <c r="W346" s="254">
        <v>4265</v>
      </c>
      <c r="X346" s="252">
        <v>38</v>
      </c>
      <c r="Y346" s="252">
        <v>538</v>
      </c>
      <c r="Z346" s="253">
        <v>3713</v>
      </c>
      <c r="AA346" s="262">
        <v>5811</v>
      </c>
      <c r="AB346" s="272">
        <v>4173.9575905925312</v>
      </c>
    </row>
    <row r="347" spans="1:28" ht="13.5" customHeight="1">
      <c r="A347" s="18">
        <v>31</v>
      </c>
      <c r="B347" s="19" t="s">
        <v>36</v>
      </c>
      <c r="C347" s="251">
        <v>73</v>
      </c>
      <c r="D347" s="252">
        <v>0</v>
      </c>
      <c r="E347" s="252">
        <v>12</v>
      </c>
      <c r="F347" s="252">
        <v>16</v>
      </c>
      <c r="G347" s="252">
        <v>173</v>
      </c>
      <c r="H347" s="252">
        <v>87</v>
      </c>
      <c r="I347" s="252">
        <v>398</v>
      </c>
      <c r="J347" s="252">
        <v>26</v>
      </c>
      <c r="K347" s="252">
        <v>138</v>
      </c>
      <c r="L347" s="252">
        <v>109</v>
      </c>
      <c r="M347" s="252">
        <v>0</v>
      </c>
      <c r="N347" s="252">
        <v>4</v>
      </c>
      <c r="O347" s="252">
        <v>189</v>
      </c>
      <c r="P347" s="252">
        <v>0</v>
      </c>
      <c r="Q347" s="252">
        <v>438</v>
      </c>
      <c r="R347" s="252">
        <v>258</v>
      </c>
      <c r="S347" s="252">
        <v>399</v>
      </c>
      <c r="T347" s="252">
        <v>95</v>
      </c>
      <c r="U347" s="252">
        <v>2415</v>
      </c>
      <c r="V347" s="253">
        <v>-14</v>
      </c>
      <c r="W347" s="254">
        <v>2401</v>
      </c>
      <c r="X347" s="252">
        <v>85</v>
      </c>
      <c r="Y347" s="252">
        <v>587</v>
      </c>
      <c r="Z347" s="253">
        <v>1743</v>
      </c>
      <c r="AA347" s="262">
        <v>5277</v>
      </c>
      <c r="AB347" s="272">
        <v>2361.8884124597039</v>
      </c>
    </row>
    <row r="348" spans="1:28" ht="13.5" customHeight="1">
      <c r="A348" s="18">
        <v>32</v>
      </c>
      <c r="B348" s="19" t="s">
        <v>37</v>
      </c>
      <c r="C348" s="251">
        <v>1</v>
      </c>
      <c r="D348" s="252">
        <v>0</v>
      </c>
      <c r="E348" s="252">
        <v>90</v>
      </c>
      <c r="F348" s="252">
        <v>0</v>
      </c>
      <c r="G348" s="252">
        <v>1</v>
      </c>
      <c r="H348" s="252">
        <v>26</v>
      </c>
      <c r="I348" s="252">
        <v>779</v>
      </c>
      <c r="J348" s="252">
        <v>17</v>
      </c>
      <c r="K348" s="252">
        <v>35</v>
      </c>
      <c r="L348" s="252">
        <v>51</v>
      </c>
      <c r="M348" s="252">
        <v>0</v>
      </c>
      <c r="N348" s="252">
        <v>6</v>
      </c>
      <c r="O348" s="252">
        <v>58</v>
      </c>
      <c r="P348" s="252">
        <v>0</v>
      </c>
      <c r="Q348" s="252">
        <v>274</v>
      </c>
      <c r="R348" s="252">
        <v>191</v>
      </c>
      <c r="S348" s="252">
        <v>129</v>
      </c>
      <c r="T348" s="252">
        <v>16</v>
      </c>
      <c r="U348" s="252">
        <v>1674</v>
      </c>
      <c r="V348" s="253">
        <v>-9</v>
      </c>
      <c r="W348" s="254">
        <v>1665</v>
      </c>
      <c r="X348" s="252">
        <v>91</v>
      </c>
      <c r="Y348" s="252">
        <v>780</v>
      </c>
      <c r="Z348" s="253">
        <v>803</v>
      </c>
      <c r="AA348" s="262">
        <v>5319</v>
      </c>
      <c r="AB348" s="272">
        <v>1616.6190401926035</v>
      </c>
    </row>
    <row r="349" spans="1:28" ht="13.5" customHeight="1">
      <c r="A349" s="18">
        <v>33</v>
      </c>
      <c r="B349" s="19" t="s">
        <v>38</v>
      </c>
      <c r="C349" s="251">
        <v>829</v>
      </c>
      <c r="D349" s="252">
        <v>2</v>
      </c>
      <c r="E349" s="252">
        <v>42</v>
      </c>
      <c r="F349" s="252">
        <v>105</v>
      </c>
      <c r="G349" s="252">
        <v>916</v>
      </c>
      <c r="H349" s="252">
        <v>204</v>
      </c>
      <c r="I349" s="252">
        <v>1728</v>
      </c>
      <c r="J349" s="252">
        <v>236</v>
      </c>
      <c r="K349" s="252">
        <v>94</v>
      </c>
      <c r="L349" s="252">
        <v>177</v>
      </c>
      <c r="M349" s="252">
        <v>0</v>
      </c>
      <c r="N349" s="252">
        <v>4</v>
      </c>
      <c r="O349" s="252">
        <v>104</v>
      </c>
      <c r="P349" s="252">
        <v>31</v>
      </c>
      <c r="Q349" s="252">
        <v>746</v>
      </c>
      <c r="R349" s="252">
        <v>324</v>
      </c>
      <c r="S349" s="252">
        <v>182</v>
      </c>
      <c r="T349" s="252">
        <v>143</v>
      </c>
      <c r="U349" s="252">
        <v>5867</v>
      </c>
      <c r="V349" s="253">
        <v>-32</v>
      </c>
      <c r="W349" s="254">
        <v>5835</v>
      </c>
      <c r="X349" s="252">
        <v>873</v>
      </c>
      <c r="Y349" s="252">
        <v>2749</v>
      </c>
      <c r="Z349" s="253">
        <v>2245</v>
      </c>
      <c r="AA349" s="262">
        <v>5247</v>
      </c>
      <c r="AB349" s="272">
        <v>5624.4282141145795</v>
      </c>
    </row>
    <row r="350" spans="1:28" ht="13.5" customHeight="1">
      <c r="A350" s="18">
        <v>34</v>
      </c>
      <c r="B350" s="19" t="s">
        <v>39</v>
      </c>
      <c r="C350" s="251">
        <v>310</v>
      </c>
      <c r="D350" s="252">
        <v>0</v>
      </c>
      <c r="E350" s="252">
        <v>14</v>
      </c>
      <c r="F350" s="252">
        <v>0</v>
      </c>
      <c r="G350" s="252">
        <v>412</v>
      </c>
      <c r="H350" s="252">
        <v>88</v>
      </c>
      <c r="I350" s="252">
        <v>1692</v>
      </c>
      <c r="J350" s="252">
        <v>59</v>
      </c>
      <c r="K350" s="252">
        <v>110</v>
      </c>
      <c r="L350" s="252">
        <v>196</v>
      </c>
      <c r="M350" s="252">
        <v>0</v>
      </c>
      <c r="N350" s="252">
        <v>11</v>
      </c>
      <c r="O350" s="252">
        <v>32</v>
      </c>
      <c r="P350" s="252">
        <v>19</v>
      </c>
      <c r="Q350" s="252">
        <v>403</v>
      </c>
      <c r="R350" s="252">
        <v>238</v>
      </c>
      <c r="S350" s="252">
        <v>154</v>
      </c>
      <c r="T350" s="252">
        <v>59</v>
      </c>
      <c r="U350" s="252">
        <v>3797</v>
      </c>
      <c r="V350" s="253">
        <v>-21</v>
      </c>
      <c r="W350" s="254">
        <v>3776</v>
      </c>
      <c r="X350" s="252">
        <v>324</v>
      </c>
      <c r="Y350" s="252">
        <v>2104</v>
      </c>
      <c r="Z350" s="253">
        <v>1369</v>
      </c>
      <c r="AA350" s="262">
        <v>6660</v>
      </c>
      <c r="AB350" s="272">
        <v>3679.7150120540696</v>
      </c>
    </row>
    <row r="351" spans="1:28" ht="13.5" customHeight="1">
      <c r="A351" s="18">
        <v>35</v>
      </c>
      <c r="B351" s="19" t="s">
        <v>40</v>
      </c>
      <c r="C351" s="251">
        <v>149</v>
      </c>
      <c r="D351" s="252">
        <v>3</v>
      </c>
      <c r="E351" s="252">
        <v>105</v>
      </c>
      <c r="F351" s="252">
        <v>11</v>
      </c>
      <c r="G351" s="252">
        <v>360</v>
      </c>
      <c r="H351" s="252">
        <v>91</v>
      </c>
      <c r="I351" s="252">
        <v>1694</v>
      </c>
      <c r="J351" s="252">
        <v>222</v>
      </c>
      <c r="K351" s="252">
        <v>232</v>
      </c>
      <c r="L351" s="252">
        <v>132</v>
      </c>
      <c r="M351" s="252">
        <v>0</v>
      </c>
      <c r="N351" s="252">
        <v>14</v>
      </c>
      <c r="O351" s="252">
        <v>140</v>
      </c>
      <c r="P351" s="252">
        <v>92</v>
      </c>
      <c r="Q351" s="252">
        <v>683</v>
      </c>
      <c r="R351" s="252">
        <v>485</v>
      </c>
      <c r="S351" s="252">
        <v>223</v>
      </c>
      <c r="T351" s="252">
        <v>138</v>
      </c>
      <c r="U351" s="252">
        <v>4774</v>
      </c>
      <c r="V351" s="253">
        <v>-27</v>
      </c>
      <c r="W351" s="254">
        <v>4747</v>
      </c>
      <c r="X351" s="252">
        <v>257</v>
      </c>
      <c r="Y351" s="252">
        <v>2065</v>
      </c>
      <c r="Z351" s="253">
        <v>2452</v>
      </c>
      <c r="AA351" s="262">
        <v>5860</v>
      </c>
      <c r="AB351" s="272">
        <v>4628.7113007731823</v>
      </c>
    </row>
    <row r="352" spans="1:28" ht="13.5" customHeight="1">
      <c r="A352" s="18">
        <v>36</v>
      </c>
      <c r="B352" s="19" t="s">
        <v>41</v>
      </c>
      <c r="C352" s="251">
        <v>366</v>
      </c>
      <c r="D352" s="252">
        <v>0</v>
      </c>
      <c r="E352" s="252">
        <v>157</v>
      </c>
      <c r="F352" s="252">
        <v>0</v>
      </c>
      <c r="G352" s="252">
        <v>110</v>
      </c>
      <c r="H352" s="252">
        <v>51</v>
      </c>
      <c r="I352" s="252">
        <v>765</v>
      </c>
      <c r="J352" s="252">
        <v>168</v>
      </c>
      <c r="K352" s="252">
        <v>401</v>
      </c>
      <c r="L352" s="252">
        <v>209</v>
      </c>
      <c r="M352" s="252">
        <v>0</v>
      </c>
      <c r="N352" s="252">
        <v>6</v>
      </c>
      <c r="O352" s="252">
        <v>251</v>
      </c>
      <c r="P352" s="252">
        <v>41</v>
      </c>
      <c r="Q352" s="252">
        <v>677</v>
      </c>
      <c r="R352" s="252">
        <v>341</v>
      </c>
      <c r="S352" s="252">
        <v>373</v>
      </c>
      <c r="T352" s="252">
        <v>143</v>
      </c>
      <c r="U352" s="252">
        <v>4059</v>
      </c>
      <c r="V352" s="253">
        <v>-23</v>
      </c>
      <c r="W352" s="254">
        <v>4036</v>
      </c>
      <c r="X352" s="252">
        <v>523</v>
      </c>
      <c r="Y352" s="252">
        <v>875</v>
      </c>
      <c r="Z352" s="253">
        <v>2661</v>
      </c>
      <c r="AA352" s="262">
        <v>4235</v>
      </c>
      <c r="AB352" s="272">
        <v>3882.8219414746686</v>
      </c>
    </row>
    <row r="353" spans="1:28" ht="13.5" customHeight="1">
      <c r="A353" s="18">
        <v>37</v>
      </c>
      <c r="B353" s="19" t="s">
        <v>49</v>
      </c>
      <c r="C353" s="251">
        <v>1451</v>
      </c>
      <c r="D353" s="252">
        <v>0</v>
      </c>
      <c r="E353" s="252">
        <v>695</v>
      </c>
      <c r="F353" s="252">
        <v>37</v>
      </c>
      <c r="G353" s="252">
        <v>2573</v>
      </c>
      <c r="H353" s="252">
        <v>1182</v>
      </c>
      <c r="I353" s="252">
        <v>2306</v>
      </c>
      <c r="J353" s="252">
        <v>1283</v>
      </c>
      <c r="K353" s="252">
        <v>945</v>
      </c>
      <c r="L353" s="252">
        <v>1302</v>
      </c>
      <c r="M353" s="252">
        <v>0</v>
      </c>
      <c r="N353" s="252">
        <v>203</v>
      </c>
      <c r="O353" s="252">
        <v>1954</v>
      </c>
      <c r="P353" s="252">
        <v>860</v>
      </c>
      <c r="Q353" s="252">
        <v>4008</v>
      </c>
      <c r="R353" s="252">
        <v>1686</v>
      </c>
      <c r="S353" s="252">
        <v>1939</v>
      </c>
      <c r="T353" s="252">
        <v>1176</v>
      </c>
      <c r="U353" s="252">
        <v>23600</v>
      </c>
      <c r="V353" s="253">
        <v>-131</v>
      </c>
      <c r="W353" s="254">
        <v>23469</v>
      </c>
      <c r="X353" s="252">
        <v>2146</v>
      </c>
      <c r="Y353" s="252">
        <v>4916</v>
      </c>
      <c r="Z353" s="253">
        <v>16538</v>
      </c>
      <c r="AA353" s="262">
        <v>4889</v>
      </c>
      <c r="AB353" s="272">
        <v>22831.035966834064</v>
      </c>
    </row>
    <row r="354" spans="1:28" ht="13.5" customHeight="1">
      <c r="A354" s="20">
        <v>38</v>
      </c>
      <c r="B354" s="21" t="s">
        <v>50</v>
      </c>
      <c r="C354" s="255">
        <v>3197</v>
      </c>
      <c r="D354" s="256">
        <v>0</v>
      </c>
      <c r="E354" s="256">
        <v>195</v>
      </c>
      <c r="F354" s="256">
        <v>79</v>
      </c>
      <c r="G354" s="256">
        <v>1743</v>
      </c>
      <c r="H354" s="256">
        <v>1718</v>
      </c>
      <c r="I354" s="256">
        <v>7138</v>
      </c>
      <c r="J354" s="256">
        <v>3391</v>
      </c>
      <c r="K354" s="256">
        <v>1563</v>
      </c>
      <c r="L354" s="256">
        <v>1013</v>
      </c>
      <c r="M354" s="256">
        <v>256</v>
      </c>
      <c r="N354" s="256">
        <v>534</v>
      </c>
      <c r="O354" s="256">
        <v>8304</v>
      </c>
      <c r="P354" s="256">
        <v>2256</v>
      </c>
      <c r="Q354" s="256">
        <v>6409</v>
      </c>
      <c r="R354" s="256">
        <v>5811</v>
      </c>
      <c r="S354" s="256">
        <v>10924</v>
      </c>
      <c r="T354" s="256">
        <v>2819</v>
      </c>
      <c r="U354" s="256">
        <v>57350</v>
      </c>
      <c r="V354" s="257">
        <v>-318</v>
      </c>
      <c r="W354" s="258">
        <v>57032</v>
      </c>
      <c r="X354" s="256">
        <v>3392</v>
      </c>
      <c r="Y354" s="256">
        <v>8960</v>
      </c>
      <c r="Z354" s="257">
        <v>44998</v>
      </c>
      <c r="AA354" s="263">
        <v>5231</v>
      </c>
      <c r="AB354" s="273">
        <v>56011.307325399124</v>
      </c>
    </row>
    <row r="355" spans="1:28" ht="13.5" customHeight="1">
      <c r="A355" s="20">
        <v>39</v>
      </c>
      <c r="B355" s="21" t="s">
        <v>42</v>
      </c>
      <c r="C355" s="243">
        <v>848</v>
      </c>
      <c r="D355" s="244">
        <v>0</v>
      </c>
      <c r="E355" s="244">
        <v>1</v>
      </c>
      <c r="F355" s="244">
        <v>0</v>
      </c>
      <c r="G355" s="244">
        <v>752</v>
      </c>
      <c r="H355" s="244">
        <v>109</v>
      </c>
      <c r="I355" s="244">
        <v>950</v>
      </c>
      <c r="J355" s="244">
        <v>121</v>
      </c>
      <c r="K355" s="244">
        <v>179</v>
      </c>
      <c r="L355" s="244">
        <v>105</v>
      </c>
      <c r="M355" s="244">
        <v>0</v>
      </c>
      <c r="N355" s="244">
        <v>12</v>
      </c>
      <c r="O355" s="244">
        <v>212</v>
      </c>
      <c r="P355" s="244">
        <v>51</v>
      </c>
      <c r="Q355" s="244">
        <v>599</v>
      </c>
      <c r="R355" s="244">
        <v>321</v>
      </c>
      <c r="S355" s="244">
        <v>155</v>
      </c>
      <c r="T355" s="244">
        <v>114</v>
      </c>
      <c r="U355" s="244">
        <v>4529</v>
      </c>
      <c r="V355" s="245">
        <v>-25</v>
      </c>
      <c r="W355" s="246">
        <v>4504</v>
      </c>
      <c r="X355" s="244">
        <v>849</v>
      </c>
      <c r="Y355" s="244">
        <v>1702</v>
      </c>
      <c r="Z355" s="245">
        <v>1978</v>
      </c>
      <c r="AA355" s="260">
        <v>5880</v>
      </c>
      <c r="AB355" s="270">
        <v>4392.0588632257723</v>
      </c>
    </row>
    <row r="356" spans="1:28" ht="13.5" customHeight="1">
      <c r="A356" s="18">
        <v>40</v>
      </c>
      <c r="B356" s="19" t="s">
        <v>43</v>
      </c>
      <c r="C356" s="247">
        <v>1406</v>
      </c>
      <c r="D356" s="248">
        <v>8</v>
      </c>
      <c r="E356" s="248">
        <v>127</v>
      </c>
      <c r="F356" s="248">
        <v>0</v>
      </c>
      <c r="G356" s="248">
        <v>1175</v>
      </c>
      <c r="H356" s="248">
        <v>332</v>
      </c>
      <c r="I356" s="248">
        <v>2992</v>
      </c>
      <c r="J356" s="248">
        <v>379</v>
      </c>
      <c r="K356" s="248">
        <v>1310</v>
      </c>
      <c r="L356" s="248">
        <v>3259</v>
      </c>
      <c r="M356" s="248">
        <v>0</v>
      </c>
      <c r="N356" s="248">
        <v>20</v>
      </c>
      <c r="O356" s="248">
        <v>1022</v>
      </c>
      <c r="P356" s="248">
        <v>847</v>
      </c>
      <c r="Q356" s="248">
        <v>579</v>
      </c>
      <c r="R356" s="248">
        <v>1978</v>
      </c>
      <c r="S356" s="248">
        <v>450</v>
      </c>
      <c r="T356" s="248">
        <v>2092</v>
      </c>
      <c r="U356" s="248">
        <v>17976</v>
      </c>
      <c r="V356" s="249">
        <v>-99</v>
      </c>
      <c r="W356" s="250">
        <v>17877</v>
      </c>
      <c r="X356" s="248">
        <v>1541</v>
      </c>
      <c r="Y356" s="248">
        <v>4167</v>
      </c>
      <c r="Z356" s="249">
        <v>12268</v>
      </c>
      <c r="AA356" s="261">
        <v>5836</v>
      </c>
      <c r="AB356" s="271">
        <v>17344.076141555099</v>
      </c>
    </row>
    <row r="357" spans="1:28" ht="13.5" customHeight="1">
      <c r="A357" s="20">
        <v>41</v>
      </c>
      <c r="B357" s="21" t="s">
        <v>44</v>
      </c>
      <c r="C357" s="255">
        <v>219</v>
      </c>
      <c r="D357" s="256">
        <v>0</v>
      </c>
      <c r="E357" s="256">
        <v>65</v>
      </c>
      <c r="F357" s="256">
        <v>68</v>
      </c>
      <c r="G357" s="256">
        <v>479</v>
      </c>
      <c r="H357" s="256">
        <v>268</v>
      </c>
      <c r="I357" s="256">
        <v>2063</v>
      </c>
      <c r="J357" s="256">
        <v>183</v>
      </c>
      <c r="K357" s="256">
        <v>352</v>
      </c>
      <c r="L357" s="256">
        <v>503</v>
      </c>
      <c r="M357" s="256">
        <v>0</v>
      </c>
      <c r="N357" s="256">
        <v>7</v>
      </c>
      <c r="O357" s="256">
        <v>316</v>
      </c>
      <c r="P357" s="256">
        <v>174</v>
      </c>
      <c r="Q357" s="256">
        <v>2802</v>
      </c>
      <c r="R357" s="256">
        <v>610</v>
      </c>
      <c r="S357" s="256">
        <v>398</v>
      </c>
      <c r="T357" s="256">
        <v>232</v>
      </c>
      <c r="U357" s="256">
        <v>8739</v>
      </c>
      <c r="V357" s="257">
        <v>-48</v>
      </c>
      <c r="W357" s="258">
        <v>8691</v>
      </c>
      <c r="X357" s="256">
        <v>284</v>
      </c>
      <c r="Y357" s="256">
        <v>2610</v>
      </c>
      <c r="Z357" s="257">
        <v>5845</v>
      </c>
      <c r="AA357" s="263">
        <v>5435</v>
      </c>
      <c r="AB357" s="273">
        <v>8544.4852140092917</v>
      </c>
    </row>
    <row r="358" spans="1:28" ht="15.75" customHeight="1">
      <c r="A358" s="111" t="s">
        <v>146</v>
      </c>
      <c r="B358" s="7" t="s">
        <v>152</v>
      </c>
      <c r="C358" s="247">
        <v>15575</v>
      </c>
      <c r="D358" s="248">
        <v>190</v>
      </c>
      <c r="E358" s="248">
        <v>2313</v>
      </c>
      <c r="F358" s="248">
        <v>2890</v>
      </c>
      <c r="G358" s="248">
        <v>21873</v>
      </c>
      <c r="H358" s="248">
        <v>21854</v>
      </c>
      <c r="I358" s="248">
        <v>65893</v>
      </c>
      <c r="J358" s="248">
        <v>23894</v>
      </c>
      <c r="K358" s="248">
        <v>15588</v>
      </c>
      <c r="L358" s="248">
        <v>35129</v>
      </c>
      <c r="M358" s="248">
        <v>4197</v>
      </c>
      <c r="N358" s="248">
        <v>5734</v>
      </c>
      <c r="O358" s="248">
        <v>39014</v>
      </c>
      <c r="P358" s="248">
        <v>23620</v>
      </c>
      <c r="Q358" s="248">
        <v>29593</v>
      </c>
      <c r="R358" s="248">
        <v>32737</v>
      </c>
      <c r="S358" s="248">
        <v>50670</v>
      </c>
      <c r="T358" s="248">
        <v>25774</v>
      </c>
      <c r="U358" s="248">
        <v>416538</v>
      </c>
      <c r="V358" s="249">
        <v>-2312</v>
      </c>
      <c r="W358" s="250">
        <v>414226</v>
      </c>
      <c r="X358" s="248">
        <v>18078</v>
      </c>
      <c r="Y358" s="248">
        <v>90656</v>
      </c>
      <c r="Z358" s="249">
        <v>307804</v>
      </c>
      <c r="AA358" s="261">
        <v>5395</v>
      </c>
      <c r="AB358" s="271">
        <v>406741.80567142629</v>
      </c>
    </row>
    <row r="359" spans="1:28" ht="15.75" customHeight="1">
      <c r="A359" s="112" t="s">
        <v>147</v>
      </c>
      <c r="B359" s="17" t="s">
        <v>153</v>
      </c>
      <c r="C359" s="251">
        <v>5534</v>
      </c>
      <c r="D359" s="252">
        <v>12</v>
      </c>
      <c r="E359" s="252">
        <v>2026</v>
      </c>
      <c r="F359" s="252">
        <v>1701</v>
      </c>
      <c r="G359" s="252">
        <v>94370</v>
      </c>
      <c r="H359" s="252">
        <v>87056</v>
      </c>
      <c r="I359" s="252">
        <v>157777</v>
      </c>
      <c r="J359" s="252">
        <v>188464</v>
      </c>
      <c r="K359" s="252">
        <v>60000</v>
      </c>
      <c r="L359" s="252">
        <v>60920</v>
      </c>
      <c r="M359" s="252">
        <v>78293</v>
      </c>
      <c r="N359" s="252">
        <v>37411</v>
      </c>
      <c r="O359" s="252">
        <v>217689</v>
      </c>
      <c r="P359" s="252">
        <v>158425</v>
      </c>
      <c r="Q359" s="252">
        <v>93077</v>
      </c>
      <c r="R359" s="252">
        <v>101951</v>
      </c>
      <c r="S359" s="252">
        <v>198454</v>
      </c>
      <c r="T359" s="252">
        <v>97005</v>
      </c>
      <c r="U359" s="252">
        <v>1640165</v>
      </c>
      <c r="V359" s="253">
        <v>-9090</v>
      </c>
      <c r="W359" s="254">
        <v>1631075</v>
      </c>
      <c r="X359" s="252">
        <v>7572</v>
      </c>
      <c r="Y359" s="252">
        <v>253848</v>
      </c>
      <c r="Z359" s="253">
        <v>1378745</v>
      </c>
      <c r="AA359" s="262">
        <v>6055</v>
      </c>
      <c r="AB359" s="272">
        <v>1617938.4910096487</v>
      </c>
    </row>
    <row r="360" spans="1:28" ht="15.75" customHeight="1">
      <c r="A360" s="112" t="s">
        <v>148</v>
      </c>
      <c r="B360" s="17" t="s">
        <v>154</v>
      </c>
      <c r="C360" s="251">
        <v>15366</v>
      </c>
      <c r="D360" s="252">
        <v>17</v>
      </c>
      <c r="E360" s="252">
        <v>2814</v>
      </c>
      <c r="F360" s="252">
        <v>1348</v>
      </c>
      <c r="G360" s="252">
        <v>45459</v>
      </c>
      <c r="H360" s="252">
        <v>17796</v>
      </c>
      <c r="I360" s="252">
        <v>70230</v>
      </c>
      <c r="J360" s="252">
        <v>55493</v>
      </c>
      <c r="K360" s="252">
        <v>32570</v>
      </c>
      <c r="L360" s="252">
        <v>21905</v>
      </c>
      <c r="M360" s="252">
        <v>7440</v>
      </c>
      <c r="N360" s="252">
        <v>8071</v>
      </c>
      <c r="O360" s="252">
        <v>78288</v>
      </c>
      <c r="P360" s="252">
        <v>38840</v>
      </c>
      <c r="Q360" s="252">
        <v>42505</v>
      </c>
      <c r="R360" s="252">
        <v>37807</v>
      </c>
      <c r="S360" s="252">
        <v>100629</v>
      </c>
      <c r="T360" s="252">
        <v>36344</v>
      </c>
      <c r="U360" s="252">
        <v>612922</v>
      </c>
      <c r="V360" s="253">
        <v>-3398</v>
      </c>
      <c r="W360" s="254">
        <v>609524</v>
      </c>
      <c r="X360" s="252">
        <v>18197</v>
      </c>
      <c r="Y360" s="252">
        <v>117037</v>
      </c>
      <c r="Z360" s="253">
        <v>477688</v>
      </c>
      <c r="AA360" s="262">
        <v>5237</v>
      </c>
      <c r="AB360" s="272">
        <v>600591.14315868751</v>
      </c>
    </row>
    <row r="361" spans="1:28" ht="15.75" customHeight="1">
      <c r="A361" s="112" t="s">
        <v>149</v>
      </c>
      <c r="B361" s="17" t="s">
        <v>155</v>
      </c>
      <c r="C361" s="251">
        <v>298</v>
      </c>
      <c r="D361" s="252">
        <v>34</v>
      </c>
      <c r="E361" s="252">
        <v>2508</v>
      </c>
      <c r="F361" s="252">
        <v>479</v>
      </c>
      <c r="G361" s="252">
        <v>13347</v>
      </c>
      <c r="H361" s="252">
        <v>31032</v>
      </c>
      <c r="I361" s="252">
        <v>98269</v>
      </c>
      <c r="J361" s="252">
        <v>124426</v>
      </c>
      <c r="K361" s="252">
        <v>151072</v>
      </c>
      <c r="L361" s="252">
        <v>60536</v>
      </c>
      <c r="M361" s="252">
        <v>106815</v>
      </c>
      <c r="N361" s="252">
        <v>85672</v>
      </c>
      <c r="O361" s="252">
        <v>138055</v>
      </c>
      <c r="P361" s="252">
        <v>183447</v>
      </c>
      <c r="Q361" s="252">
        <v>196279</v>
      </c>
      <c r="R361" s="252">
        <v>39563</v>
      </c>
      <c r="S361" s="252">
        <v>112423</v>
      </c>
      <c r="T361" s="252">
        <v>59939</v>
      </c>
      <c r="U361" s="252">
        <v>1404194</v>
      </c>
      <c r="V361" s="253">
        <v>-7786</v>
      </c>
      <c r="W361" s="254">
        <v>1396408</v>
      </c>
      <c r="X361" s="252">
        <v>2840</v>
      </c>
      <c r="Y361" s="252">
        <v>112095</v>
      </c>
      <c r="Z361" s="253">
        <v>1289259</v>
      </c>
      <c r="AA361" s="262">
        <v>7472</v>
      </c>
      <c r="AB361" s="272">
        <v>1385379.7872347727</v>
      </c>
    </row>
    <row r="362" spans="1:28" ht="15.75" customHeight="1">
      <c r="A362" s="112" t="s">
        <v>150</v>
      </c>
      <c r="B362" s="17" t="s">
        <v>156</v>
      </c>
      <c r="C362" s="251">
        <v>8851</v>
      </c>
      <c r="D362" s="252">
        <v>44</v>
      </c>
      <c r="E362" s="252">
        <v>761</v>
      </c>
      <c r="F362" s="252">
        <v>311</v>
      </c>
      <c r="G362" s="252">
        <v>9397</v>
      </c>
      <c r="H362" s="252">
        <v>6708</v>
      </c>
      <c r="I362" s="252">
        <v>31324</v>
      </c>
      <c r="J362" s="252">
        <v>19542</v>
      </c>
      <c r="K362" s="252">
        <v>9646</v>
      </c>
      <c r="L362" s="252">
        <v>9126</v>
      </c>
      <c r="M362" s="252">
        <v>1939</v>
      </c>
      <c r="N362" s="252">
        <v>2326</v>
      </c>
      <c r="O362" s="252">
        <v>15335</v>
      </c>
      <c r="P362" s="252">
        <v>12773</v>
      </c>
      <c r="Q362" s="252">
        <v>17748</v>
      </c>
      <c r="R362" s="252">
        <v>10389</v>
      </c>
      <c r="S362" s="252">
        <v>20421</v>
      </c>
      <c r="T362" s="252">
        <v>7234</v>
      </c>
      <c r="U362" s="252">
        <v>183875</v>
      </c>
      <c r="V362" s="253">
        <v>-1020</v>
      </c>
      <c r="W362" s="254">
        <v>182855</v>
      </c>
      <c r="X362" s="252">
        <v>9656</v>
      </c>
      <c r="Y362" s="252">
        <v>41032</v>
      </c>
      <c r="Z362" s="253">
        <v>133187</v>
      </c>
      <c r="AA362" s="262">
        <v>6079</v>
      </c>
      <c r="AB362" s="272">
        <v>179158.11617712039</v>
      </c>
    </row>
    <row r="363" spans="1:28" ht="15.75" customHeight="1">
      <c r="A363" s="113" t="s">
        <v>151</v>
      </c>
      <c r="B363" s="105" t="s">
        <v>157</v>
      </c>
      <c r="C363" s="255">
        <v>7756</v>
      </c>
      <c r="D363" s="256">
        <v>30</v>
      </c>
      <c r="E363" s="256">
        <v>939</v>
      </c>
      <c r="F363" s="256">
        <v>342</v>
      </c>
      <c r="G363" s="256">
        <v>7382</v>
      </c>
      <c r="H363" s="256">
        <v>7845</v>
      </c>
      <c r="I363" s="256">
        <v>24113</v>
      </c>
      <c r="J363" s="256">
        <v>13141</v>
      </c>
      <c r="K363" s="256">
        <v>16299</v>
      </c>
      <c r="L363" s="256">
        <v>16249</v>
      </c>
      <c r="M363" s="256">
        <v>2007</v>
      </c>
      <c r="N363" s="256">
        <v>2717</v>
      </c>
      <c r="O363" s="256">
        <v>17524</v>
      </c>
      <c r="P363" s="256">
        <v>17471</v>
      </c>
      <c r="Q363" s="256">
        <v>22823</v>
      </c>
      <c r="R363" s="256">
        <v>11479</v>
      </c>
      <c r="S363" s="256">
        <v>14291</v>
      </c>
      <c r="T363" s="256">
        <v>10162</v>
      </c>
      <c r="U363" s="256">
        <v>192570</v>
      </c>
      <c r="V363" s="257">
        <v>-1066</v>
      </c>
      <c r="W363" s="258">
        <v>191504</v>
      </c>
      <c r="X363" s="256">
        <v>8725</v>
      </c>
      <c r="Y363" s="256">
        <v>31837</v>
      </c>
      <c r="Z363" s="257">
        <v>152008</v>
      </c>
      <c r="AA363" s="263">
        <v>6139</v>
      </c>
      <c r="AB363" s="273">
        <v>187903.16083614135</v>
      </c>
    </row>
    <row r="364" spans="1:28" ht="15.75" customHeight="1">
      <c r="A364" s="222" t="s">
        <v>293</v>
      </c>
      <c r="B364" s="25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</row>
    <row r="365" spans="1:28" ht="15.75" customHeight="1">
      <c r="A365" s="222" t="s">
        <v>292</v>
      </c>
    </row>
    <row r="366" spans="1:28" ht="13.5" customHeight="1">
      <c r="A366" s="55">
        <f>A314+1</f>
        <v>30</v>
      </c>
      <c r="B366" s="50" t="str">
        <f>IF(A366&lt;22,"令和"&amp;A366&amp;"年度","平成"&amp;A366&amp;"年度")</f>
        <v>平成30年度</v>
      </c>
      <c r="C366" s="56" t="str">
        <f>C$2</f>
        <v>経済活動別市町村内総生産（百万円）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1"/>
      <c r="Y366" s="2"/>
      <c r="Z366" s="57"/>
      <c r="AA366" s="57"/>
      <c r="AB366" s="57"/>
    </row>
    <row r="367" spans="1:28" ht="45" customHeight="1">
      <c r="A367" s="186"/>
      <c r="B367" s="76"/>
      <c r="C367" s="77" t="s">
        <v>51</v>
      </c>
      <c r="D367" s="77" t="s">
        <v>52</v>
      </c>
      <c r="E367" s="77" t="s">
        <v>53</v>
      </c>
      <c r="F367" s="77" t="s">
        <v>54</v>
      </c>
      <c r="G367" s="77" t="s">
        <v>55</v>
      </c>
      <c r="H367" s="77" t="s">
        <v>56</v>
      </c>
      <c r="I367" s="77" t="s">
        <v>57</v>
      </c>
      <c r="J367" s="77" t="s">
        <v>58</v>
      </c>
      <c r="K367" s="77" t="s">
        <v>59</v>
      </c>
      <c r="L367" s="77" t="s">
        <v>60</v>
      </c>
      <c r="M367" s="77" t="s">
        <v>61</v>
      </c>
      <c r="N367" s="77" t="s">
        <v>62</v>
      </c>
      <c r="O367" s="77" t="s">
        <v>63</v>
      </c>
      <c r="P367" s="77" t="s">
        <v>64</v>
      </c>
      <c r="Q367" s="77" t="s">
        <v>65</v>
      </c>
      <c r="R367" s="77" t="s">
        <v>66</v>
      </c>
      <c r="S367" s="77" t="s">
        <v>67</v>
      </c>
      <c r="T367" s="77" t="s">
        <v>68</v>
      </c>
      <c r="U367" s="77" t="s">
        <v>70</v>
      </c>
      <c r="V367" s="78" t="s">
        <v>69</v>
      </c>
      <c r="W367" s="79" t="s">
        <v>71</v>
      </c>
      <c r="X367" s="77" t="s">
        <v>72</v>
      </c>
      <c r="Y367" s="77" t="s">
        <v>73</v>
      </c>
      <c r="Z367" s="77" t="s">
        <v>74</v>
      </c>
      <c r="AA367" s="259" t="s">
        <v>277</v>
      </c>
      <c r="AB367" s="269" t="s">
        <v>278</v>
      </c>
    </row>
    <row r="368" spans="1:28" ht="13.5" customHeight="1">
      <c r="A368" s="153" t="s">
        <v>160</v>
      </c>
      <c r="B368" s="22" t="s">
        <v>0</v>
      </c>
      <c r="C368" s="243">
        <v>49063</v>
      </c>
      <c r="D368" s="244">
        <v>322</v>
      </c>
      <c r="E368" s="244">
        <v>11288</v>
      </c>
      <c r="F368" s="244">
        <v>7599</v>
      </c>
      <c r="G368" s="244">
        <v>195438</v>
      </c>
      <c r="H368" s="244">
        <v>168481</v>
      </c>
      <c r="I368" s="244">
        <v>455228</v>
      </c>
      <c r="J368" s="244">
        <v>420644</v>
      </c>
      <c r="K368" s="244">
        <v>288262</v>
      </c>
      <c r="L368" s="244">
        <v>205375</v>
      </c>
      <c r="M368" s="244">
        <v>203957</v>
      </c>
      <c r="N368" s="244">
        <v>146137</v>
      </c>
      <c r="O368" s="244">
        <v>509431</v>
      </c>
      <c r="P368" s="244">
        <v>423805</v>
      </c>
      <c r="Q368" s="244">
        <v>415265</v>
      </c>
      <c r="R368" s="244">
        <v>237622</v>
      </c>
      <c r="S368" s="244">
        <v>510035</v>
      </c>
      <c r="T368" s="244">
        <v>231249</v>
      </c>
      <c r="U368" s="244">
        <v>4479201</v>
      </c>
      <c r="V368" s="245">
        <v>-25997</v>
      </c>
      <c r="W368" s="246">
        <v>4453204</v>
      </c>
      <c r="X368" s="244">
        <v>60673</v>
      </c>
      <c r="Y368" s="244">
        <v>658265</v>
      </c>
      <c r="Z368" s="245">
        <v>3760263</v>
      </c>
      <c r="AA368" s="260">
        <v>6186</v>
      </c>
      <c r="AB368" s="270">
        <v>4385801</v>
      </c>
    </row>
    <row r="369" spans="1:28" ht="13.5" customHeight="1">
      <c r="A369" s="16" t="s">
        <v>1</v>
      </c>
      <c r="B369" s="17" t="s">
        <v>2</v>
      </c>
      <c r="C369" s="247">
        <v>282</v>
      </c>
      <c r="D369" s="248">
        <v>36</v>
      </c>
      <c r="E369" s="248">
        <v>2471</v>
      </c>
      <c r="F369" s="248">
        <v>519</v>
      </c>
      <c r="G369" s="248">
        <v>13989</v>
      </c>
      <c r="H369" s="248">
        <v>31136</v>
      </c>
      <c r="I369" s="248">
        <v>91544</v>
      </c>
      <c r="J369" s="248">
        <v>123487</v>
      </c>
      <c r="K369" s="248">
        <v>150811</v>
      </c>
      <c r="L369" s="248">
        <v>60418</v>
      </c>
      <c r="M369" s="248">
        <v>109101</v>
      </c>
      <c r="N369" s="248">
        <v>88004</v>
      </c>
      <c r="O369" s="248">
        <v>137586</v>
      </c>
      <c r="P369" s="248">
        <v>179794</v>
      </c>
      <c r="Q369" s="248">
        <v>201996</v>
      </c>
      <c r="R369" s="248">
        <v>40355</v>
      </c>
      <c r="S369" s="248">
        <v>116574</v>
      </c>
      <c r="T369" s="248">
        <v>58357</v>
      </c>
      <c r="U369" s="248">
        <v>1406460</v>
      </c>
      <c r="V369" s="249">
        <v>-8157</v>
      </c>
      <c r="W369" s="250">
        <v>1398303</v>
      </c>
      <c r="X369" s="248">
        <v>2789</v>
      </c>
      <c r="Y369" s="248">
        <v>106052</v>
      </c>
      <c r="Z369" s="249">
        <v>1297619</v>
      </c>
      <c r="AA369" s="261">
        <v>7385</v>
      </c>
      <c r="AB369" s="271">
        <v>1378910.8291402764</v>
      </c>
    </row>
    <row r="370" spans="1:28" ht="13.5" customHeight="1">
      <c r="A370" s="18" t="s">
        <v>3</v>
      </c>
      <c r="B370" s="19" t="s">
        <v>4</v>
      </c>
      <c r="C370" s="251">
        <v>131</v>
      </c>
      <c r="D370" s="252">
        <v>0</v>
      </c>
      <c r="E370" s="252">
        <v>161</v>
      </c>
      <c r="F370" s="252">
        <v>552</v>
      </c>
      <c r="G370" s="252">
        <v>2455</v>
      </c>
      <c r="H370" s="252">
        <v>7889</v>
      </c>
      <c r="I370" s="252">
        <v>23507</v>
      </c>
      <c r="J370" s="252">
        <v>24588</v>
      </c>
      <c r="K370" s="252">
        <v>5457</v>
      </c>
      <c r="L370" s="252">
        <v>8502</v>
      </c>
      <c r="M370" s="252">
        <v>15777</v>
      </c>
      <c r="N370" s="252">
        <v>4730</v>
      </c>
      <c r="O370" s="252">
        <v>34680</v>
      </c>
      <c r="P370" s="252">
        <v>20644</v>
      </c>
      <c r="Q370" s="252">
        <v>8724</v>
      </c>
      <c r="R370" s="252">
        <v>13283</v>
      </c>
      <c r="S370" s="252">
        <v>20569</v>
      </c>
      <c r="T370" s="252">
        <v>13165</v>
      </c>
      <c r="U370" s="252">
        <v>204814</v>
      </c>
      <c r="V370" s="253">
        <v>-1189</v>
      </c>
      <c r="W370" s="254">
        <v>203625</v>
      </c>
      <c r="X370" s="252">
        <v>292</v>
      </c>
      <c r="Y370" s="252">
        <v>26514</v>
      </c>
      <c r="Z370" s="253">
        <v>178008</v>
      </c>
      <c r="AA370" s="262">
        <v>5532</v>
      </c>
      <c r="AB370" s="272">
        <v>201067.81325015859</v>
      </c>
    </row>
    <row r="371" spans="1:28" ht="13.5" customHeight="1">
      <c r="A371" s="18" t="s">
        <v>5</v>
      </c>
      <c r="B371" s="19" t="s">
        <v>6</v>
      </c>
      <c r="C371" s="251">
        <v>5523</v>
      </c>
      <c r="D371" s="252">
        <v>21</v>
      </c>
      <c r="E371" s="252">
        <v>799</v>
      </c>
      <c r="F371" s="252">
        <v>292</v>
      </c>
      <c r="G371" s="252">
        <v>5810</v>
      </c>
      <c r="H371" s="252">
        <v>7122</v>
      </c>
      <c r="I371" s="252">
        <v>21378</v>
      </c>
      <c r="J371" s="252">
        <v>12386</v>
      </c>
      <c r="K371" s="252">
        <v>15172</v>
      </c>
      <c r="L371" s="252">
        <v>12382</v>
      </c>
      <c r="M371" s="252">
        <v>1993</v>
      </c>
      <c r="N371" s="252">
        <v>2702</v>
      </c>
      <c r="O371" s="252">
        <v>16250</v>
      </c>
      <c r="P371" s="252">
        <v>15229</v>
      </c>
      <c r="Q371" s="252">
        <v>20115</v>
      </c>
      <c r="R371" s="252">
        <v>8997</v>
      </c>
      <c r="S371" s="252">
        <v>13668</v>
      </c>
      <c r="T371" s="252">
        <v>7976</v>
      </c>
      <c r="U371" s="252">
        <v>167815</v>
      </c>
      <c r="V371" s="253">
        <v>-974</v>
      </c>
      <c r="W371" s="254">
        <v>166841</v>
      </c>
      <c r="X371" s="252">
        <v>6343</v>
      </c>
      <c r="Y371" s="252">
        <v>27480</v>
      </c>
      <c r="Z371" s="253">
        <v>133992</v>
      </c>
      <c r="AA371" s="262">
        <v>6403</v>
      </c>
      <c r="AB371" s="272">
        <v>163087.58059553045</v>
      </c>
    </row>
    <row r="372" spans="1:28" ht="13.5" customHeight="1">
      <c r="A372" s="18" t="s">
        <v>7</v>
      </c>
      <c r="B372" s="19" t="s">
        <v>8</v>
      </c>
      <c r="C372" s="251">
        <v>25</v>
      </c>
      <c r="D372" s="252">
        <v>2</v>
      </c>
      <c r="E372" s="252">
        <v>224</v>
      </c>
      <c r="F372" s="252">
        <v>149</v>
      </c>
      <c r="G372" s="252">
        <v>22840</v>
      </c>
      <c r="H372" s="252">
        <v>15204</v>
      </c>
      <c r="I372" s="252">
        <v>29630</v>
      </c>
      <c r="J372" s="252">
        <v>80526</v>
      </c>
      <c r="K372" s="252">
        <v>22802</v>
      </c>
      <c r="L372" s="252">
        <v>9185</v>
      </c>
      <c r="M372" s="252">
        <v>36668</v>
      </c>
      <c r="N372" s="252">
        <v>11063</v>
      </c>
      <c r="O372" s="252">
        <v>41636</v>
      </c>
      <c r="P372" s="252">
        <v>49098</v>
      </c>
      <c r="Q372" s="252">
        <v>14083</v>
      </c>
      <c r="R372" s="252">
        <v>18056</v>
      </c>
      <c r="S372" s="252">
        <v>40575</v>
      </c>
      <c r="T372" s="252">
        <v>18306</v>
      </c>
      <c r="U372" s="252">
        <v>410072</v>
      </c>
      <c r="V372" s="253">
        <v>-2380</v>
      </c>
      <c r="W372" s="254">
        <v>407692</v>
      </c>
      <c r="X372" s="252">
        <v>251</v>
      </c>
      <c r="Y372" s="252">
        <v>52619</v>
      </c>
      <c r="Z372" s="253">
        <v>357202</v>
      </c>
      <c r="AA372" s="262">
        <v>6873</v>
      </c>
      <c r="AB372" s="272">
        <v>404685.45782821969</v>
      </c>
    </row>
    <row r="373" spans="1:28" ht="13.5" customHeight="1">
      <c r="A373" s="16" t="s">
        <v>9</v>
      </c>
      <c r="B373" s="17" t="s">
        <v>10</v>
      </c>
      <c r="C373" s="251">
        <v>2839</v>
      </c>
      <c r="D373" s="252">
        <v>67</v>
      </c>
      <c r="E373" s="252">
        <v>419</v>
      </c>
      <c r="F373" s="252">
        <v>1581</v>
      </c>
      <c r="G373" s="252">
        <v>16638</v>
      </c>
      <c r="H373" s="252">
        <v>7307</v>
      </c>
      <c r="I373" s="252">
        <v>27950</v>
      </c>
      <c r="J373" s="252">
        <v>16182</v>
      </c>
      <c r="K373" s="252">
        <v>6784</v>
      </c>
      <c r="L373" s="252">
        <v>13062</v>
      </c>
      <c r="M373" s="252">
        <v>3000</v>
      </c>
      <c r="N373" s="252">
        <v>4550</v>
      </c>
      <c r="O373" s="252">
        <v>19963</v>
      </c>
      <c r="P373" s="252">
        <v>14430</v>
      </c>
      <c r="Q373" s="252">
        <v>14239</v>
      </c>
      <c r="R373" s="252">
        <v>14847</v>
      </c>
      <c r="S373" s="252">
        <v>32003</v>
      </c>
      <c r="T373" s="252">
        <v>9391</v>
      </c>
      <c r="U373" s="252">
        <v>205252</v>
      </c>
      <c r="V373" s="253">
        <v>-1191</v>
      </c>
      <c r="W373" s="254">
        <v>204061</v>
      </c>
      <c r="X373" s="252">
        <v>3325</v>
      </c>
      <c r="Y373" s="252">
        <v>46169</v>
      </c>
      <c r="Z373" s="253">
        <v>155758</v>
      </c>
      <c r="AA373" s="262">
        <v>5949</v>
      </c>
      <c r="AB373" s="272">
        <v>200493.11840208111</v>
      </c>
    </row>
    <row r="374" spans="1:28" ht="13.5" customHeight="1">
      <c r="A374" s="18" t="s">
        <v>11</v>
      </c>
      <c r="B374" s="19" t="s">
        <v>12</v>
      </c>
      <c r="C374" s="251">
        <v>3764</v>
      </c>
      <c r="D374" s="252">
        <v>1</v>
      </c>
      <c r="E374" s="252">
        <v>533</v>
      </c>
      <c r="F374" s="252">
        <v>922</v>
      </c>
      <c r="G374" s="252">
        <v>20250</v>
      </c>
      <c r="H374" s="252">
        <v>3268</v>
      </c>
      <c r="I374" s="252">
        <v>11693</v>
      </c>
      <c r="J374" s="252">
        <v>11507</v>
      </c>
      <c r="K374" s="252">
        <v>7809</v>
      </c>
      <c r="L374" s="252">
        <v>5929</v>
      </c>
      <c r="M374" s="252">
        <v>950</v>
      </c>
      <c r="N374" s="252">
        <v>1986</v>
      </c>
      <c r="O374" s="252">
        <v>17522</v>
      </c>
      <c r="P374" s="252">
        <v>4558</v>
      </c>
      <c r="Q374" s="252">
        <v>8197</v>
      </c>
      <c r="R374" s="252">
        <v>9423</v>
      </c>
      <c r="S374" s="252">
        <v>20068</v>
      </c>
      <c r="T374" s="252">
        <v>8507</v>
      </c>
      <c r="U374" s="252">
        <v>136887</v>
      </c>
      <c r="V374" s="253">
        <v>-795</v>
      </c>
      <c r="W374" s="254">
        <v>136092</v>
      </c>
      <c r="X374" s="252">
        <v>4298</v>
      </c>
      <c r="Y374" s="252">
        <v>32865</v>
      </c>
      <c r="Z374" s="253">
        <v>99724</v>
      </c>
      <c r="AA374" s="262">
        <v>4693</v>
      </c>
      <c r="AB374" s="272">
        <v>134056.13932258726</v>
      </c>
    </row>
    <row r="375" spans="1:28" ht="13.5" customHeight="1">
      <c r="A375" s="18" t="s">
        <v>13</v>
      </c>
      <c r="B375" s="19" t="s">
        <v>14</v>
      </c>
      <c r="C375" s="251">
        <v>1066</v>
      </c>
      <c r="D375" s="252">
        <v>3</v>
      </c>
      <c r="E375" s="252">
        <v>188</v>
      </c>
      <c r="F375" s="252">
        <v>221</v>
      </c>
      <c r="G375" s="252">
        <v>11760</v>
      </c>
      <c r="H375" s="252">
        <v>9561</v>
      </c>
      <c r="I375" s="252">
        <v>35038</v>
      </c>
      <c r="J375" s="252">
        <v>24525</v>
      </c>
      <c r="K375" s="252">
        <v>10741</v>
      </c>
      <c r="L375" s="252">
        <v>14489</v>
      </c>
      <c r="M375" s="252">
        <v>3631</v>
      </c>
      <c r="N375" s="252">
        <v>10258</v>
      </c>
      <c r="O375" s="252">
        <v>47708</v>
      </c>
      <c r="P375" s="252">
        <v>33124</v>
      </c>
      <c r="Q375" s="252">
        <v>28844</v>
      </c>
      <c r="R375" s="252">
        <v>19830</v>
      </c>
      <c r="S375" s="252">
        <v>57013</v>
      </c>
      <c r="T375" s="252">
        <v>20481</v>
      </c>
      <c r="U375" s="252">
        <v>328481</v>
      </c>
      <c r="V375" s="253">
        <v>-1907</v>
      </c>
      <c r="W375" s="254">
        <v>326574</v>
      </c>
      <c r="X375" s="252">
        <v>1257</v>
      </c>
      <c r="Y375" s="252">
        <v>47019</v>
      </c>
      <c r="Z375" s="253">
        <v>280205</v>
      </c>
      <c r="AA375" s="262">
        <v>5949</v>
      </c>
      <c r="AB375" s="272">
        <v>321621.64202217798</v>
      </c>
    </row>
    <row r="376" spans="1:28" ht="13.5" customHeight="1">
      <c r="A376" s="18" t="s">
        <v>15</v>
      </c>
      <c r="B376" s="19" t="s">
        <v>45</v>
      </c>
      <c r="C376" s="251">
        <v>1315</v>
      </c>
      <c r="D376" s="252">
        <v>1</v>
      </c>
      <c r="E376" s="252">
        <v>374</v>
      </c>
      <c r="F376" s="252">
        <v>66</v>
      </c>
      <c r="G376" s="252">
        <v>4807</v>
      </c>
      <c r="H376" s="252">
        <v>3619</v>
      </c>
      <c r="I376" s="252">
        <v>15264</v>
      </c>
      <c r="J376" s="252">
        <v>16151</v>
      </c>
      <c r="K376" s="252">
        <v>13424</v>
      </c>
      <c r="L376" s="252">
        <v>5366</v>
      </c>
      <c r="M376" s="252">
        <v>5600</v>
      </c>
      <c r="N376" s="252">
        <v>2149</v>
      </c>
      <c r="O376" s="252">
        <v>20291</v>
      </c>
      <c r="P376" s="252">
        <v>21303</v>
      </c>
      <c r="Q376" s="252">
        <v>6373</v>
      </c>
      <c r="R376" s="252">
        <v>7405</v>
      </c>
      <c r="S376" s="252">
        <v>27411</v>
      </c>
      <c r="T376" s="252">
        <v>7415</v>
      </c>
      <c r="U376" s="252">
        <v>158334</v>
      </c>
      <c r="V376" s="253">
        <v>-919</v>
      </c>
      <c r="W376" s="254">
        <v>157415</v>
      </c>
      <c r="X376" s="252">
        <v>1690</v>
      </c>
      <c r="Y376" s="252">
        <v>20137</v>
      </c>
      <c r="Z376" s="253">
        <v>136507</v>
      </c>
      <c r="AA376" s="262">
        <v>5835</v>
      </c>
      <c r="AB376" s="272">
        <v>154801.26357474184</v>
      </c>
    </row>
    <row r="377" spans="1:28" ht="13.5" customHeight="1">
      <c r="A377" s="18" t="s">
        <v>16</v>
      </c>
      <c r="B377" s="19" t="s">
        <v>46</v>
      </c>
      <c r="C377" s="251">
        <v>2336</v>
      </c>
      <c r="D377" s="252">
        <v>1</v>
      </c>
      <c r="E377" s="252">
        <v>1031</v>
      </c>
      <c r="F377" s="252">
        <v>414</v>
      </c>
      <c r="G377" s="252">
        <v>25084</v>
      </c>
      <c r="H377" s="252">
        <v>23635</v>
      </c>
      <c r="I377" s="252">
        <v>29351</v>
      </c>
      <c r="J377" s="252">
        <v>23289</v>
      </c>
      <c r="K377" s="252">
        <v>10637</v>
      </c>
      <c r="L377" s="252">
        <v>8518</v>
      </c>
      <c r="M377" s="252">
        <v>13418</v>
      </c>
      <c r="N377" s="252">
        <v>5061</v>
      </c>
      <c r="O377" s="252">
        <v>39250</v>
      </c>
      <c r="P377" s="252">
        <v>30822</v>
      </c>
      <c r="Q377" s="252">
        <v>21375</v>
      </c>
      <c r="R377" s="252">
        <v>15506</v>
      </c>
      <c r="S377" s="252">
        <v>33651</v>
      </c>
      <c r="T377" s="252">
        <v>16053</v>
      </c>
      <c r="U377" s="252">
        <v>299432</v>
      </c>
      <c r="V377" s="253">
        <v>-1738</v>
      </c>
      <c r="W377" s="254">
        <v>297694</v>
      </c>
      <c r="X377" s="252">
        <v>3368</v>
      </c>
      <c r="Y377" s="252">
        <v>54849</v>
      </c>
      <c r="Z377" s="253">
        <v>241215</v>
      </c>
      <c r="AA377" s="262">
        <v>6314</v>
      </c>
      <c r="AB377" s="272">
        <v>294540.6888689659</v>
      </c>
    </row>
    <row r="378" spans="1:28" ht="13.5" customHeight="1">
      <c r="A378" s="18">
        <v>10</v>
      </c>
      <c r="B378" s="19" t="s">
        <v>47</v>
      </c>
      <c r="C378" s="251">
        <v>7227</v>
      </c>
      <c r="D378" s="252">
        <v>45</v>
      </c>
      <c r="E378" s="252">
        <v>770</v>
      </c>
      <c r="F378" s="252">
        <v>337</v>
      </c>
      <c r="G378" s="252">
        <v>8755</v>
      </c>
      <c r="H378" s="252">
        <v>6387</v>
      </c>
      <c r="I378" s="252">
        <v>35586</v>
      </c>
      <c r="J378" s="252">
        <v>19175</v>
      </c>
      <c r="K378" s="252">
        <v>9939</v>
      </c>
      <c r="L378" s="252">
        <v>9607</v>
      </c>
      <c r="M378" s="252">
        <v>2237</v>
      </c>
      <c r="N378" s="252">
        <v>2435</v>
      </c>
      <c r="O378" s="252">
        <v>15410</v>
      </c>
      <c r="P378" s="252">
        <v>12543</v>
      </c>
      <c r="Q378" s="252">
        <v>17438</v>
      </c>
      <c r="R378" s="252">
        <v>10031</v>
      </c>
      <c r="S378" s="252">
        <v>20319</v>
      </c>
      <c r="T378" s="252">
        <v>7230</v>
      </c>
      <c r="U378" s="252">
        <v>185471</v>
      </c>
      <c r="V378" s="253">
        <v>-1077</v>
      </c>
      <c r="W378" s="254">
        <v>184394</v>
      </c>
      <c r="X378" s="252">
        <v>8042</v>
      </c>
      <c r="Y378" s="252">
        <v>44678</v>
      </c>
      <c r="Z378" s="253">
        <v>132751</v>
      </c>
      <c r="AA378" s="262">
        <v>6116</v>
      </c>
      <c r="AB378" s="272">
        <v>180045.9018248315</v>
      </c>
    </row>
    <row r="379" spans="1:28" ht="13.5" customHeight="1">
      <c r="A379" s="20">
        <v>11</v>
      </c>
      <c r="B379" s="21" t="s">
        <v>48</v>
      </c>
      <c r="C379" s="255">
        <v>2470</v>
      </c>
      <c r="D379" s="256">
        <v>4</v>
      </c>
      <c r="E379" s="256">
        <v>627</v>
      </c>
      <c r="F379" s="256">
        <v>116</v>
      </c>
      <c r="G379" s="256">
        <v>8927</v>
      </c>
      <c r="H379" s="256">
        <v>3431</v>
      </c>
      <c r="I379" s="256">
        <v>13567</v>
      </c>
      <c r="J379" s="256">
        <v>4285</v>
      </c>
      <c r="K379" s="256">
        <v>4189</v>
      </c>
      <c r="L379" s="256">
        <v>2074</v>
      </c>
      <c r="M379" s="256">
        <v>1503</v>
      </c>
      <c r="N379" s="256">
        <v>490</v>
      </c>
      <c r="O379" s="256">
        <v>11954</v>
      </c>
      <c r="P379" s="256">
        <v>2791</v>
      </c>
      <c r="Q379" s="256">
        <v>9892</v>
      </c>
      <c r="R379" s="256">
        <v>3796</v>
      </c>
      <c r="S379" s="256">
        <v>9576</v>
      </c>
      <c r="T379" s="256">
        <v>5211</v>
      </c>
      <c r="U379" s="256">
        <v>84903</v>
      </c>
      <c r="V379" s="257">
        <v>-493</v>
      </c>
      <c r="W379" s="258">
        <v>84410</v>
      </c>
      <c r="X379" s="256">
        <v>3101</v>
      </c>
      <c r="Y379" s="256">
        <v>22610</v>
      </c>
      <c r="Z379" s="257">
        <v>59192</v>
      </c>
      <c r="AA379" s="263">
        <v>5006</v>
      </c>
      <c r="AB379" s="273">
        <v>83061.544989923656</v>
      </c>
    </row>
    <row r="380" spans="1:28" ht="13.5" customHeight="1">
      <c r="A380" s="18">
        <v>12</v>
      </c>
      <c r="B380" s="19" t="s">
        <v>17</v>
      </c>
      <c r="C380" s="247">
        <v>1995</v>
      </c>
      <c r="D380" s="248">
        <v>71</v>
      </c>
      <c r="E380" s="248">
        <v>47</v>
      </c>
      <c r="F380" s="248">
        <v>138</v>
      </c>
      <c r="G380" s="248">
        <v>182</v>
      </c>
      <c r="H380" s="248">
        <v>464</v>
      </c>
      <c r="I380" s="248">
        <v>2200</v>
      </c>
      <c r="J380" s="248">
        <v>472</v>
      </c>
      <c r="K380" s="248">
        <v>149</v>
      </c>
      <c r="L380" s="248">
        <v>1727</v>
      </c>
      <c r="M380" s="248">
        <v>0</v>
      </c>
      <c r="N380" s="248">
        <v>143</v>
      </c>
      <c r="O380" s="248">
        <v>1066</v>
      </c>
      <c r="P380" s="248">
        <v>181</v>
      </c>
      <c r="Q380" s="248">
        <v>1395</v>
      </c>
      <c r="R380" s="248">
        <v>1052</v>
      </c>
      <c r="S380" s="248">
        <v>812</v>
      </c>
      <c r="T380" s="248">
        <v>584</v>
      </c>
      <c r="U380" s="248">
        <v>12678</v>
      </c>
      <c r="V380" s="249">
        <v>-74</v>
      </c>
      <c r="W380" s="250">
        <v>12604</v>
      </c>
      <c r="X380" s="248">
        <v>2113</v>
      </c>
      <c r="Y380" s="248">
        <v>2520</v>
      </c>
      <c r="Z380" s="249">
        <v>8045</v>
      </c>
      <c r="AA380" s="261">
        <v>4267</v>
      </c>
      <c r="AB380" s="271">
        <v>12139.18395196348</v>
      </c>
    </row>
    <row r="381" spans="1:28" ht="13.5" customHeight="1">
      <c r="A381" s="18">
        <v>13</v>
      </c>
      <c r="B381" s="19" t="s">
        <v>18</v>
      </c>
      <c r="C381" s="251">
        <v>1394</v>
      </c>
      <c r="D381" s="252">
        <v>7</v>
      </c>
      <c r="E381" s="252">
        <v>266</v>
      </c>
      <c r="F381" s="252">
        <v>0</v>
      </c>
      <c r="G381" s="252">
        <v>158</v>
      </c>
      <c r="H381" s="252">
        <v>262</v>
      </c>
      <c r="I381" s="252">
        <v>1415</v>
      </c>
      <c r="J381" s="252">
        <v>187</v>
      </c>
      <c r="K381" s="252">
        <v>549</v>
      </c>
      <c r="L381" s="252">
        <v>100</v>
      </c>
      <c r="M381" s="252">
        <v>0</v>
      </c>
      <c r="N381" s="252">
        <v>3</v>
      </c>
      <c r="O381" s="252">
        <v>752</v>
      </c>
      <c r="P381" s="252">
        <v>212</v>
      </c>
      <c r="Q381" s="252">
        <v>856</v>
      </c>
      <c r="R381" s="252">
        <v>633</v>
      </c>
      <c r="S381" s="252">
        <v>804</v>
      </c>
      <c r="T381" s="252">
        <v>297</v>
      </c>
      <c r="U381" s="252">
        <v>7895</v>
      </c>
      <c r="V381" s="253">
        <v>-46</v>
      </c>
      <c r="W381" s="254">
        <v>7849</v>
      </c>
      <c r="X381" s="252">
        <v>1667</v>
      </c>
      <c r="Y381" s="252">
        <v>1573</v>
      </c>
      <c r="Z381" s="253">
        <v>4655</v>
      </c>
      <c r="AA381" s="262">
        <v>4361</v>
      </c>
      <c r="AB381" s="272">
        <v>7526.3965429762766</v>
      </c>
    </row>
    <row r="382" spans="1:28" ht="13.5" customHeight="1">
      <c r="A382" s="18">
        <v>14</v>
      </c>
      <c r="B382" s="19" t="s">
        <v>19</v>
      </c>
      <c r="C382" s="251">
        <v>845</v>
      </c>
      <c r="D382" s="252">
        <v>5</v>
      </c>
      <c r="E382" s="252">
        <v>26</v>
      </c>
      <c r="F382" s="252">
        <v>0</v>
      </c>
      <c r="G382" s="252">
        <v>305</v>
      </c>
      <c r="H382" s="252">
        <v>17</v>
      </c>
      <c r="I382" s="252">
        <v>756</v>
      </c>
      <c r="J382" s="252">
        <v>104</v>
      </c>
      <c r="K382" s="252">
        <v>106</v>
      </c>
      <c r="L382" s="252">
        <v>257</v>
      </c>
      <c r="M382" s="252">
        <v>0</v>
      </c>
      <c r="N382" s="252">
        <v>3</v>
      </c>
      <c r="O382" s="252">
        <v>343</v>
      </c>
      <c r="P382" s="252">
        <v>1341</v>
      </c>
      <c r="Q382" s="252">
        <v>776</v>
      </c>
      <c r="R382" s="252">
        <v>505</v>
      </c>
      <c r="S382" s="252">
        <v>324</v>
      </c>
      <c r="T382" s="252">
        <v>232</v>
      </c>
      <c r="U382" s="252">
        <v>5945</v>
      </c>
      <c r="V382" s="253">
        <v>-35</v>
      </c>
      <c r="W382" s="254">
        <v>5910</v>
      </c>
      <c r="X382" s="252">
        <v>876</v>
      </c>
      <c r="Y382" s="252">
        <v>1061</v>
      </c>
      <c r="Z382" s="253">
        <v>4008</v>
      </c>
      <c r="AA382" s="262">
        <v>4739</v>
      </c>
      <c r="AB382" s="272">
        <v>5708.446184691169</v>
      </c>
    </row>
    <row r="383" spans="1:28" ht="13.5" customHeight="1">
      <c r="A383" s="18">
        <v>15</v>
      </c>
      <c r="B383" s="19" t="s">
        <v>20</v>
      </c>
      <c r="C383" s="251">
        <v>1789</v>
      </c>
      <c r="D383" s="252">
        <v>5</v>
      </c>
      <c r="E383" s="252">
        <v>117</v>
      </c>
      <c r="F383" s="252">
        <v>17</v>
      </c>
      <c r="G383" s="252">
        <v>988</v>
      </c>
      <c r="H383" s="252">
        <v>636</v>
      </c>
      <c r="I383" s="252">
        <v>3183</v>
      </c>
      <c r="J383" s="252">
        <v>604</v>
      </c>
      <c r="K383" s="252">
        <v>444</v>
      </c>
      <c r="L383" s="252">
        <v>1295</v>
      </c>
      <c r="M383" s="252">
        <v>3</v>
      </c>
      <c r="N383" s="252">
        <v>109</v>
      </c>
      <c r="O383" s="252">
        <v>2116</v>
      </c>
      <c r="P383" s="252">
        <v>906</v>
      </c>
      <c r="Q383" s="252">
        <v>1248</v>
      </c>
      <c r="R383" s="252">
        <v>1259</v>
      </c>
      <c r="S383" s="252">
        <v>2193</v>
      </c>
      <c r="T383" s="252">
        <v>1498</v>
      </c>
      <c r="U383" s="252">
        <v>18410</v>
      </c>
      <c r="V383" s="253">
        <v>-107</v>
      </c>
      <c r="W383" s="254">
        <v>18303</v>
      </c>
      <c r="X383" s="252">
        <v>1911</v>
      </c>
      <c r="Y383" s="252">
        <v>4188</v>
      </c>
      <c r="Z383" s="253">
        <v>12311</v>
      </c>
      <c r="AA383" s="262">
        <v>3923</v>
      </c>
      <c r="AB383" s="272">
        <v>17773.519333642911</v>
      </c>
    </row>
    <row r="384" spans="1:28" ht="13.5" customHeight="1">
      <c r="A384" s="18">
        <v>16</v>
      </c>
      <c r="B384" s="19" t="s">
        <v>21</v>
      </c>
      <c r="C384" s="251">
        <v>1223</v>
      </c>
      <c r="D384" s="252">
        <v>2</v>
      </c>
      <c r="E384" s="252">
        <v>340</v>
      </c>
      <c r="F384" s="252">
        <v>1148</v>
      </c>
      <c r="G384" s="252">
        <v>1803</v>
      </c>
      <c r="H384" s="252">
        <v>1268</v>
      </c>
      <c r="I384" s="252">
        <v>6360</v>
      </c>
      <c r="J384" s="252">
        <v>1739</v>
      </c>
      <c r="K384" s="252">
        <v>1794</v>
      </c>
      <c r="L384" s="252">
        <v>4022</v>
      </c>
      <c r="M384" s="252">
        <v>0</v>
      </c>
      <c r="N384" s="252">
        <v>520</v>
      </c>
      <c r="O384" s="252">
        <v>3691</v>
      </c>
      <c r="P384" s="252">
        <v>2344</v>
      </c>
      <c r="Q384" s="252">
        <v>2079</v>
      </c>
      <c r="R384" s="252">
        <v>2076</v>
      </c>
      <c r="S384" s="252">
        <v>4510</v>
      </c>
      <c r="T384" s="252">
        <v>5928</v>
      </c>
      <c r="U384" s="252">
        <v>40847</v>
      </c>
      <c r="V384" s="253">
        <v>-237</v>
      </c>
      <c r="W384" s="254">
        <v>40610</v>
      </c>
      <c r="X384" s="252">
        <v>1565</v>
      </c>
      <c r="Y384" s="252">
        <v>9311</v>
      </c>
      <c r="Z384" s="253">
        <v>29971</v>
      </c>
      <c r="AA384" s="262">
        <v>4665</v>
      </c>
      <c r="AB384" s="272">
        <v>39676.746364099592</v>
      </c>
    </row>
    <row r="385" spans="1:28" ht="13.5" customHeight="1">
      <c r="A385" s="18">
        <v>17</v>
      </c>
      <c r="B385" s="19" t="s">
        <v>22</v>
      </c>
      <c r="C385" s="251">
        <v>656</v>
      </c>
      <c r="D385" s="252">
        <v>13</v>
      </c>
      <c r="E385" s="252">
        <v>373</v>
      </c>
      <c r="F385" s="252">
        <v>116</v>
      </c>
      <c r="G385" s="252">
        <v>361</v>
      </c>
      <c r="H385" s="252">
        <v>707</v>
      </c>
      <c r="I385" s="252">
        <v>13154</v>
      </c>
      <c r="J385" s="252">
        <v>1553</v>
      </c>
      <c r="K385" s="252">
        <v>1309</v>
      </c>
      <c r="L385" s="252">
        <v>12667</v>
      </c>
      <c r="M385" s="252">
        <v>126</v>
      </c>
      <c r="N385" s="252">
        <v>164</v>
      </c>
      <c r="O385" s="252">
        <v>4794</v>
      </c>
      <c r="P385" s="252">
        <v>1486</v>
      </c>
      <c r="Q385" s="252">
        <v>3649</v>
      </c>
      <c r="R385" s="252">
        <v>8886</v>
      </c>
      <c r="S385" s="252">
        <v>1539</v>
      </c>
      <c r="T385" s="252">
        <v>3932</v>
      </c>
      <c r="U385" s="252">
        <v>55485</v>
      </c>
      <c r="V385" s="253">
        <v>-323</v>
      </c>
      <c r="W385" s="254">
        <v>55162</v>
      </c>
      <c r="X385" s="252">
        <v>1042</v>
      </c>
      <c r="Y385" s="252">
        <v>13631</v>
      </c>
      <c r="Z385" s="253">
        <v>40812</v>
      </c>
      <c r="AA385" s="262">
        <v>5259</v>
      </c>
      <c r="AB385" s="272">
        <v>53723.593972983421</v>
      </c>
    </row>
    <row r="386" spans="1:28" ht="13.5" customHeight="1">
      <c r="A386" s="18">
        <v>18</v>
      </c>
      <c r="B386" s="19" t="s">
        <v>23</v>
      </c>
      <c r="C386" s="251">
        <v>624</v>
      </c>
      <c r="D386" s="252">
        <v>5</v>
      </c>
      <c r="E386" s="252">
        <v>175</v>
      </c>
      <c r="F386" s="252">
        <v>11</v>
      </c>
      <c r="G386" s="252">
        <v>191</v>
      </c>
      <c r="H386" s="252">
        <v>588</v>
      </c>
      <c r="I386" s="252">
        <v>2157</v>
      </c>
      <c r="J386" s="252">
        <v>461</v>
      </c>
      <c r="K386" s="252">
        <v>1832</v>
      </c>
      <c r="L386" s="252">
        <v>261</v>
      </c>
      <c r="M386" s="252">
        <v>906</v>
      </c>
      <c r="N386" s="252">
        <v>34</v>
      </c>
      <c r="O386" s="252">
        <v>1513</v>
      </c>
      <c r="P386" s="252">
        <v>1262</v>
      </c>
      <c r="Q386" s="252">
        <v>1553</v>
      </c>
      <c r="R386" s="252">
        <v>1176</v>
      </c>
      <c r="S386" s="252">
        <v>1999</v>
      </c>
      <c r="T386" s="252">
        <v>1023</v>
      </c>
      <c r="U386" s="252">
        <v>15771</v>
      </c>
      <c r="V386" s="253">
        <v>-92</v>
      </c>
      <c r="W386" s="254">
        <v>15679</v>
      </c>
      <c r="X386" s="252">
        <v>804</v>
      </c>
      <c r="Y386" s="252">
        <v>2359</v>
      </c>
      <c r="Z386" s="253">
        <v>12608</v>
      </c>
      <c r="AA386" s="262">
        <v>5166</v>
      </c>
      <c r="AB386" s="272">
        <v>15365.823067598174</v>
      </c>
    </row>
    <row r="387" spans="1:28" ht="13.5" customHeight="1">
      <c r="A387" s="18">
        <v>19</v>
      </c>
      <c r="B387" s="19" t="s">
        <v>24</v>
      </c>
      <c r="C387" s="251">
        <v>709</v>
      </c>
      <c r="D387" s="252">
        <v>0</v>
      </c>
      <c r="E387" s="252">
        <v>80</v>
      </c>
      <c r="F387" s="252">
        <v>61</v>
      </c>
      <c r="G387" s="252">
        <v>744</v>
      </c>
      <c r="H387" s="252">
        <v>9454</v>
      </c>
      <c r="I387" s="252">
        <v>5869</v>
      </c>
      <c r="J387" s="252">
        <v>1107</v>
      </c>
      <c r="K387" s="252">
        <v>2589</v>
      </c>
      <c r="L387" s="252">
        <v>965</v>
      </c>
      <c r="M387" s="252">
        <v>377</v>
      </c>
      <c r="N387" s="252">
        <v>313</v>
      </c>
      <c r="O387" s="252">
        <v>3446</v>
      </c>
      <c r="P387" s="252">
        <v>534</v>
      </c>
      <c r="Q387" s="252">
        <v>1980</v>
      </c>
      <c r="R387" s="252">
        <v>1684</v>
      </c>
      <c r="S387" s="252">
        <v>5617</v>
      </c>
      <c r="T387" s="252">
        <v>1377</v>
      </c>
      <c r="U387" s="252">
        <v>36906</v>
      </c>
      <c r="V387" s="253">
        <v>-215</v>
      </c>
      <c r="W387" s="254">
        <v>36691</v>
      </c>
      <c r="X387" s="252">
        <v>789</v>
      </c>
      <c r="Y387" s="252">
        <v>6674</v>
      </c>
      <c r="Z387" s="253">
        <v>29443</v>
      </c>
      <c r="AA387" s="262">
        <v>6322</v>
      </c>
      <c r="AB387" s="272">
        <v>36493.428320078987</v>
      </c>
    </row>
    <row r="388" spans="1:28" ht="13.5" customHeight="1">
      <c r="A388" s="20">
        <v>20</v>
      </c>
      <c r="B388" s="21" t="s">
        <v>25</v>
      </c>
      <c r="C388" s="255">
        <v>1952</v>
      </c>
      <c r="D388" s="256">
        <v>2</v>
      </c>
      <c r="E388" s="256">
        <v>116</v>
      </c>
      <c r="F388" s="256">
        <v>33</v>
      </c>
      <c r="G388" s="256">
        <v>503</v>
      </c>
      <c r="H388" s="256">
        <v>335</v>
      </c>
      <c r="I388" s="256">
        <v>1893</v>
      </c>
      <c r="J388" s="256">
        <v>676</v>
      </c>
      <c r="K388" s="256">
        <v>666</v>
      </c>
      <c r="L388" s="256">
        <v>667</v>
      </c>
      <c r="M388" s="256">
        <v>34</v>
      </c>
      <c r="N388" s="256">
        <v>17</v>
      </c>
      <c r="O388" s="256">
        <v>1127</v>
      </c>
      <c r="P388" s="256">
        <v>237</v>
      </c>
      <c r="Q388" s="256">
        <v>1342</v>
      </c>
      <c r="R388" s="256">
        <v>601</v>
      </c>
      <c r="S388" s="256">
        <v>939</v>
      </c>
      <c r="T388" s="256">
        <v>716</v>
      </c>
      <c r="U388" s="256">
        <v>11856</v>
      </c>
      <c r="V388" s="257">
        <v>-69</v>
      </c>
      <c r="W388" s="258">
        <v>11787</v>
      </c>
      <c r="X388" s="256">
        <v>2070</v>
      </c>
      <c r="Y388" s="256">
        <v>2429</v>
      </c>
      <c r="Z388" s="257">
        <v>7357</v>
      </c>
      <c r="AA388" s="263">
        <v>4034</v>
      </c>
      <c r="AB388" s="273">
        <v>11341.322295025029</v>
      </c>
    </row>
    <row r="389" spans="1:28" ht="13.5" customHeight="1">
      <c r="A389" s="18">
        <v>21</v>
      </c>
      <c r="B389" s="19" t="s">
        <v>26</v>
      </c>
      <c r="C389" s="247">
        <v>976</v>
      </c>
      <c r="D389" s="248">
        <v>2</v>
      </c>
      <c r="E389" s="248">
        <v>120</v>
      </c>
      <c r="F389" s="248">
        <v>182</v>
      </c>
      <c r="G389" s="248">
        <v>6599</v>
      </c>
      <c r="H389" s="248">
        <v>2286</v>
      </c>
      <c r="I389" s="248">
        <v>9600</v>
      </c>
      <c r="J389" s="248">
        <v>3738</v>
      </c>
      <c r="K389" s="248">
        <v>866</v>
      </c>
      <c r="L389" s="248">
        <v>4267</v>
      </c>
      <c r="M389" s="248">
        <v>65</v>
      </c>
      <c r="N389" s="248">
        <v>710</v>
      </c>
      <c r="O389" s="248">
        <v>14319</v>
      </c>
      <c r="P389" s="248">
        <v>2155</v>
      </c>
      <c r="Q389" s="248">
        <v>3394</v>
      </c>
      <c r="R389" s="248">
        <v>3916</v>
      </c>
      <c r="S389" s="248">
        <v>5457</v>
      </c>
      <c r="T389" s="248">
        <v>5849</v>
      </c>
      <c r="U389" s="248">
        <v>64501</v>
      </c>
      <c r="V389" s="249">
        <v>-375</v>
      </c>
      <c r="W389" s="250">
        <v>64126</v>
      </c>
      <c r="X389" s="248">
        <v>1098</v>
      </c>
      <c r="Y389" s="248">
        <v>16381</v>
      </c>
      <c r="Z389" s="249">
        <v>47022</v>
      </c>
      <c r="AA389" s="261">
        <v>4850</v>
      </c>
      <c r="AB389" s="271">
        <v>63305.36286634823</v>
      </c>
    </row>
    <row r="390" spans="1:28" ht="13.5" customHeight="1">
      <c r="A390" s="18">
        <v>22</v>
      </c>
      <c r="B390" s="19" t="s">
        <v>27</v>
      </c>
      <c r="C390" s="251">
        <v>46</v>
      </c>
      <c r="D390" s="252">
        <v>0</v>
      </c>
      <c r="E390" s="252">
        <v>7</v>
      </c>
      <c r="F390" s="252">
        <v>0</v>
      </c>
      <c r="G390" s="252">
        <v>891</v>
      </c>
      <c r="H390" s="252">
        <v>849</v>
      </c>
      <c r="I390" s="252">
        <v>3492</v>
      </c>
      <c r="J390" s="252">
        <v>1692</v>
      </c>
      <c r="K390" s="252">
        <v>439</v>
      </c>
      <c r="L390" s="252">
        <v>974</v>
      </c>
      <c r="M390" s="252">
        <v>749</v>
      </c>
      <c r="N390" s="252">
        <v>1626</v>
      </c>
      <c r="O390" s="252">
        <v>4172</v>
      </c>
      <c r="P390" s="252">
        <v>3017</v>
      </c>
      <c r="Q390" s="252">
        <v>11614</v>
      </c>
      <c r="R390" s="252">
        <v>1849</v>
      </c>
      <c r="S390" s="252">
        <v>4160</v>
      </c>
      <c r="T390" s="252">
        <v>1985</v>
      </c>
      <c r="U390" s="252">
        <v>37562</v>
      </c>
      <c r="V390" s="253">
        <v>-218</v>
      </c>
      <c r="W390" s="254">
        <v>37344</v>
      </c>
      <c r="X390" s="252">
        <v>53</v>
      </c>
      <c r="Y390" s="252">
        <v>4383</v>
      </c>
      <c r="Z390" s="253">
        <v>33126</v>
      </c>
      <c r="AA390" s="262">
        <v>4838</v>
      </c>
      <c r="AB390" s="272">
        <v>36780.995299862778</v>
      </c>
    </row>
    <row r="391" spans="1:28" ht="13.5" customHeight="1">
      <c r="A391" s="18">
        <v>23</v>
      </c>
      <c r="B391" s="19" t="s">
        <v>28</v>
      </c>
      <c r="C391" s="251">
        <v>1</v>
      </c>
      <c r="D391" s="252">
        <v>2</v>
      </c>
      <c r="E391" s="252">
        <v>75</v>
      </c>
      <c r="F391" s="252">
        <v>11</v>
      </c>
      <c r="G391" s="252">
        <v>526</v>
      </c>
      <c r="H391" s="252">
        <v>6057</v>
      </c>
      <c r="I391" s="252">
        <v>10813</v>
      </c>
      <c r="J391" s="252">
        <v>8443</v>
      </c>
      <c r="K391" s="252">
        <v>808</v>
      </c>
      <c r="L391" s="252">
        <v>8567</v>
      </c>
      <c r="M391" s="252">
        <v>5101</v>
      </c>
      <c r="N391" s="252">
        <v>2583</v>
      </c>
      <c r="O391" s="252">
        <v>15298</v>
      </c>
      <c r="P391" s="252">
        <v>7468</v>
      </c>
      <c r="Q391" s="252">
        <v>2954</v>
      </c>
      <c r="R391" s="252">
        <v>3106</v>
      </c>
      <c r="S391" s="252">
        <v>6314</v>
      </c>
      <c r="T391" s="252">
        <v>6790</v>
      </c>
      <c r="U391" s="252">
        <v>84917</v>
      </c>
      <c r="V391" s="253">
        <v>-493</v>
      </c>
      <c r="W391" s="254">
        <v>84424</v>
      </c>
      <c r="X391" s="252">
        <v>78</v>
      </c>
      <c r="Y391" s="252">
        <v>11350</v>
      </c>
      <c r="Z391" s="253">
        <v>73489</v>
      </c>
      <c r="AA391" s="262">
        <v>5816</v>
      </c>
      <c r="AB391" s="272">
        <v>83301.878294091599</v>
      </c>
    </row>
    <row r="392" spans="1:28" ht="13.5" customHeight="1">
      <c r="A392" s="18">
        <v>24</v>
      </c>
      <c r="B392" s="19" t="s">
        <v>29</v>
      </c>
      <c r="C392" s="251">
        <v>41</v>
      </c>
      <c r="D392" s="252">
        <v>1</v>
      </c>
      <c r="E392" s="252">
        <v>91</v>
      </c>
      <c r="F392" s="252">
        <v>17</v>
      </c>
      <c r="G392" s="252">
        <v>323</v>
      </c>
      <c r="H392" s="252">
        <v>932</v>
      </c>
      <c r="I392" s="252">
        <v>9996</v>
      </c>
      <c r="J392" s="252">
        <v>2558</v>
      </c>
      <c r="K392" s="252">
        <v>1338</v>
      </c>
      <c r="L392" s="252">
        <v>3903</v>
      </c>
      <c r="M392" s="252">
        <v>150</v>
      </c>
      <c r="N392" s="252">
        <v>594</v>
      </c>
      <c r="O392" s="252">
        <v>6456</v>
      </c>
      <c r="P392" s="252">
        <v>1532</v>
      </c>
      <c r="Q392" s="252">
        <v>1689</v>
      </c>
      <c r="R392" s="252">
        <v>3837</v>
      </c>
      <c r="S392" s="252">
        <v>8824</v>
      </c>
      <c r="T392" s="252">
        <v>2854</v>
      </c>
      <c r="U392" s="252">
        <v>45136</v>
      </c>
      <c r="V392" s="253">
        <v>-262</v>
      </c>
      <c r="W392" s="254">
        <v>44874</v>
      </c>
      <c r="X392" s="252">
        <v>133</v>
      </c>
      <c r="Y392" s="252">
        <v>10336</v>
      </c>
      <c r="Z392" s="253">
        <v>34667</v>
      </c>
      <c r="AA392" s="262">
        <v>5614</v>
      </c>
      <c r="AB392" s="272">
        <v>44141.419917035055</v>
      </c>
    </row>
    <row r="393" spans="1:28" ht="13.5" customHeight="1">
      <c r="A393" s="18">
        <v>25</v>
      </c>
      <c r="B393" s="19" t="s">
        <v>30</v>
      </c>
      <c r="C393" s="251">
        <v>192</v>
      </c>
      <c r="D393" s="252">
        <v>0</v>
      </c>
      <c r="E393" s="252">
        <v>17</v>
      </c>
      <c r="F393" s="252">
        <v>226</v>
      </c>
      <c r="G393" s="252">
        <v>6093</v>
      </c>
      <c r="H393" s="252">
        <v>12631</v>
      </c>
      <c r="I393" s="252">
        <v>6041</v>
      </c>
      <c r="J393" s="252">
        <v>3364</v>
      </c>
      <c r="K393" s="252">
        <v>1415</v>
      </c>
      <c r="L393" s="252">
        <v>886</v>
      </c>
      <c r="M393" s="252">
        <v>974</v>
      </c>
      <c r="N393" s="252">
        <v>368</v>
      </c>
      <c r="O393" s="252">
        <v>6911</v>
      </c>
      <c r="P393" s="252">
        <v>1853</v>
      </c>
      <c r="Q393" s="252">
        <v>1717</v>
      </c>
      <c r="R393" s="252">
        <v>1711</v>
      </c>
      <c r="S393" s="252">
        <v>9960</v>
      </c>
      <c r="T393" s="252">
        <v>3788</v>
      </c>
      <c r="U393" s="252">
        <v>58147</v>
      </c>
      <c r="V393" s="253">
        <v>-337</v>
      </c>
      <c r="W393" s="254">
        <v>57810</v>
      </c>
      <c r="X393" s="252">
        <v>209</v>
      </c>
      <c r="Y393" s="252">
        <v>12360</v>
      </c>
      <c r="Z393" s="253">
        <v>45578</v>
      </c>
      <c r="AA393" s="262">
        <v>6553</v>
      </c>
      <c r="AB393" s="272">
        <v>57653.250325238885</v>
      </c>
    </row>
    <row r="394" spans="1:28" ht="13.5" customHeight="1">
      <c r="A394" s="20">
        <v>26</v>
      </c>
      <c r="B394" s="21" t="s">
        <v>31</v>
      </c>
      <c r="C394" s="255">
        <v>203</v>
      </c>
      <c r="D394" s="256">
        <v>2</v>
      </c>
      <c r="E394" s="256">
        <v>115</v>
      </c>
      <c r="F394" s="256">
        <v>33</v>
      </c>
      <c r="G394" s="256">
        <v>20238</v>
      </c>
      <c r="H394" s="256">
        <v>5248</v>
      </c>
      <c r="I394" s="256">
        <v>6396</v>
      </c>
      <c r="J394" s="256">
        <v>14062</v>
      </c>
      <c r="K394" s="256">
        <v>6452</v>
      </c>
      <c r="L394" s="256">
        <v>2022</v>
      </c>
      <c r="M394" s="256">
        <v>494</v>
      </c>
      <c r="N394" s="256">
        <v>1698</v>
      </c>
      <c r="O394" s="256">
        <v>9663</v>
      </c>
      <c r="P394" s="256">
        <v>4611</v>
      </c>
      <c r="Q394" s="256">
        <v>2606</v>
      </c>
      <c r="R394" s="256">
        <v>21086</v>
      </c>
      <c r="S394" s="256">
        <v>17567</v>
      </c>
      <c r="T394" s="256">
        <v>5189</v>
      </c>
      <c r="U394" s="256">
        <v>117685</v>
      </c>
      <c r="V394" s="257">
        <v>-683</v>
      </c>
      <c r="W394" s="258">
        <v>117002</v>
      </c>
      <c r="X394" s="256">
        <v>320</v>
      </c>
      <c r="Y394" s="256">
        <v>26667</v>
      </c>
      <c r="Z394" s="257">
        <v>90698</v>
      </c>
      <c r="AA394" s="263">
        <v>5326</v>
      </c>
      <c r="AB394" s="273">
        <v>115657.31759679508</v>
      </c>
    </row>
    <row r="395" spans="1:28" ht="13.5" customHeight="1">
      <c r="A395" s="18">
        <v>27</v>
      </c>
      <c r="B395" s="19" t="s">
        <v>32</v>
      </c>
      <c r="C395" s="247">
        <v>156</v>
      </c>
      <c r="D395" s="248">
        <v>0</v>
      </c>
      <c r="E395" s="248">
        <v>200</v>
      </c>
      <c r="F395" s="248">
        <v>17</v>
      </c>
      <c r="G395" s="248">
        <v>602</v>
      </c>
      <c r="H395" s="248">
        <v>801</v>
      </c>
      <c r="I395" s="248">
        <v>4468</v>
      </c>
      <c r="J395" s="248">
        <v>4779</v>
      </c>
      <c r="K395" s="248">
        <v>676</v>
      </c>
      <c r="L395" s="248">
        <v>1663</v>
      </c>
      <c r="M395" s="248">
        <v>152</v>
      </c>
      <c r="N395" s="248">
        <v>1132</v>
      </c>
      <c r="O395" s="248">
        <v>6444</v>
      </c>
      <c r="P395" s="248">
        <v>1167</v>
      </c>
      <c r="Q395" s="248">
        <v>3078</v>
      </c>
      <c r="R395" s="248">
        <v>3873</v>
      </c>
      <c r="S395" s="248">
        <v>6173</v>
      </c>
      <c r="T395" s="248">
        <v>2260</v>
      </c>
      <c r="U395" s="248">
        <v>37641</v>
      </c>
      <c r="V395" s="249">
        <v>-219</v>
      </c>
      <c r="W395" s="250">
        <v>37422</v>
      </c>
      <c r="X395" s="248">
        <v>356</v>
      </c>
      <c r="Y395" s="248">
        <v>5087</v>
      </c>
      <c r="Z395" s="249">
        <v>32198</v>
      </c>
      <c r="AA395" s="261">
        <v>5233</v>
      </c>
      <c r="AB395" s="271">
        <v>36896.241072657453</v>
      </c>
    </row>
    <row r="396" spans="1:28" ht="13.5" customHeight="1">
      <c r="A396" s="18">
        <v>28</v>
      </c>
      <c r="B396" s="19" t="s">
        <v>33</v>
      </c>
      <c r="C396" s="251">
        <v>847</v>
      </c>
      <c r="D396" s="252">
        <v>6</v>
      </c>
      <c r="E396" s="252">
        <v>0</v>
      </c>
      <c r="F396" s="252">
        <v>61</v>
      </c>
      <c r="G396" s="252">
        <v>4385</v>
      </c>
      <c r="H396" s="252">
        <v>2949</v>
      </c>
      <c r="I396" s="252">
        <v>11986</v>
      </c>
      <c r="J396" s="252">
        <v>12880</v>
      </c>
      <c r="K396" s="252">
        <v>3515</v>
      </c>
      <c r="L396" s="252">
        <v>3341</v>
      </c>
      <c r="M396" s="252">
        <v>467</v>
      </c>
      <c r="N396" s="252">
        <v>1770</v>
      </c>
      <c r="O396" s="252">
        <v>12232</v>
      </c>
      <c r="P396" s="252">
        <v>4317</v>
      </c>
      <c r="Q396" s="252">
        <v>3002</v>
      </c>
      <c r="R396" s="252">
        <v>5447</v>
      </c>
      <c r="S396" s="252">
        <v>25369</v>
      </c>
      <c r="T396" s="252">
        <v>6543</v>
      </c>
      <c r="U396" s="252">
        <v>99117</v>
      </c>
      <c r="V396" s="253">
        <v>-575</v>
      </c>
      <c r="W396" s="254">
        <v>98542</v>
      </c>
      <c r="X396" s="252">
        <v>853</v>
      </c>
      <c r="Y396" s="252">
        <v>16432</v>
      </c>
      <c r="Z396" s="253">
        <v>81832</v>
      </c>
      <c r="AA396" s="262">
        <v>5172</v>
      </c>
      <c r="AB396" s="272">
        <v>97125.349507531952</v>
      </c>
    </row>
    <row r="397" spans="1:28" ht="13.5" customHeight="1">
      <c r="A397" s="18">
        <v>29</v>
      </c>
      <c r="B397" s="19" t="s">
        <v>34</v>
      </c>
      <c r="C397" s="251">
        <v>2</v>
      </c>
      <c r="D397" s="252">
        <v>3</v>
      </c>
      <c r="E397" s="252">
        <v>23</v>
      </c>
      <c r="F397" s="252">
        <v>0</v>
      </c>
      <c r="G397" s="252">
        <v>13</v>
      </c>
      <c r="H397" s="252">
        <v>116</v>
      </c>
      <c r="I397" s="252">
        <v>244</v>
      </c>
      <c r="J397" s="252">
        <v>28</v>
      </c>
      <c r="K397" s="252">
        <v>158</v>
      </c>
      <c r="L397" s="252">
        <v>485</v>
      </c>
      <c r="M397" s="252">
        <v>3</v>
      </c>
      <c r="N397" s="252">
        <v>4</v>
      </c>
      <c r="O397" s="252">
        <v>99</v>
      </c>
      <c r="P397" s="252">
        <v>102</v>
      </c>
      <c r="Q397" s="252">
        <v>477</v>
      </c>
      <c r="R397" s="252">
        <v>337</v>
      </c>
      <c r="S397" s="252">
        <v>174</v>
      </c>
      <c r="T397" s="252">
        <v>559</v>
      </c>
      <c r="U397" s="252">
        <v>2827</v>
      </c>
      <c r="V397" s="253">
        <v>-16</v>
      </c>
      <c r="W397" s="254">
        <v>2811</v>
      </c>
      <c r="X397" s="252">
        <v>28</v>
      </c>
      <c r="Y397" s="252">
        <v>257</v>
      </c>
      <c r="Z397" s="253">
        <v>2542</v>
      </c>
      <c r="AA397" s="262">
        <v>4789</v>
      </c>
      <c r="AB397" s="272">
        <v>2747.8338551217357</v>
      </c>
    </row>
    <row r="398" spans="1:28" ht="13.5" customHeight="1">
      <c r="A398" s="18">
        <v>30</v>
      </c>
      <c r="B398" s="19" t="s">
        <v>35</v>
      </c>
      <c r="C398" s="251">
        <v>1</v>
      </c>
      <c r="D398" s="252">
        <v>0</v>
      </c>
      <c r="E398" s="252">
        <v>39</v>
      </c>
      <c r="F398" s="252">
        <v>0</v>
      </c>
      <c r="G398" s="252">
        <v>32</v>
      </c>
      <c r="H398" s="252">
        <v>214</v>
      </c>
      <c r="I398" s="252">
        <v>1416</v>
      </c>
      <c r="J398" s="252">
        <v>97</v>
      </c>
      <c r="K398" s="252">
        <v>199</v>
      </c>
      <c r="L398" s="252">
        <v>856</v>
      </c>
      <c r="M398" s="252">
        <v>0</v>
      </c>
      <c r="N398" s="252">
        <v>7</v>
      </c>
      <c r="O398" s="252">
        <v>178</v>
      </c>
      <c r="P398" s="252">
        <v>172</v>
      </c>
      <c r="Q398" s="252">
        <v>420</v>
      </c>
      <c r="R398" s="252">
        <v>544</v>
      </c>
      <c r="S398" s="252">
        <v>205</v>
      </c>
      <c r="T398" s="252">
        <v>832</v>
      </c>
      <c r="U398" s="252">
        <v>5212</v>
      </c>
      <c r="V398" s="253">
        <v>-30</v>
      </c>
      <c r="W398" s="254">
        <v>5182</v>
      </c>
      <c r="X398" s="252">
        <v>40</v>
      </c>
      <c r="Y398" s="252">
        <v>1448</v>
      </c>
      <c r="Z398" s="253">
        <v>3724</v>
      </c>
      <c r="AA398" s="262">
        <v>6873</v>
      </c>
      <c r="AB398" s="272">
        <v>5049.866602185356</v>
      </c>
    </row>
    <row r="399" spans="1:28" ht="13.5" customHeight="1">
      <c r="A399" s="18">
        <v>31</v>
      </c>
      <c r="B399" s="19" t="s">
        <v>36</v>
      </c>
      <c r="C399" s="251">
        <v>69</v>
      </c>
      <c r="D399" s="252">
        <v>0</v>
      </c>
      <c r="E399" s="252">
        <v>11</v>
      </c>
      <c r="F399" s="252">
        <v>11</v>
      </c>
      <c r="G399" s="252">
        <v>159</v>
      </c>
      <c r="H399" s="252">
        <v>72</v>
      </c>
      <c r="I399" s="252">
        <v>498</v>
      </c>
      <c r="J399" s="252">
        <v>26</v>
      </c>
      <c r="K399" s="252">
        <v>123</v>
      </c>
      <c r="L399" s="252">
        <v>106</v>
      </c>
      <c r="M399" s="252">
        <v>0</v>
      </c>
      <c r="N399" s="252">
        <v>3</v>
      </c>
      <c r="O399" s="252">
        <v>213</v>
      </c>
      <c r="P399" s="252">
        <v>0</v>
      </c>
      <c r="Q399" s="252">
        <v>454</v>
      </c>
      <c r="R399" s="252">
        <v>261</v>
      </c>
      <c r="S399" s="252">
        <v>394</v>
      </c>
      <c r="T399" s="252">
        <v>87</v>
      </c>
      <c r="U399" s="252">
        <v>2487</v>
      </c>
      <c r="V399" s="253">
        <v>-15</v>
      </c>
      <c r="W399" s="254">
        <v>2472</v>
      </c>
      <c r="X399" s="252">
        <v>80</v>
      </c>
      <c r="Y399" s="252">
        <v>668</v>
      </c>
      <c r="Z399" s="253">
        <v>1739</v>
      </c>
      <c r="AA399" s="262">
        <v>5481</v>
      </c>
      <c r="AB399" s="272">
        <v>2427.2934063077455</v>
      </c>
    </row>
    <row r="400" spans="1:28" ht="13.5" customHeight="1">
      <c r="A400" s="18">
        <v>32</v>
      </c>
      <c r="B400" s="19" t="s">
        <v>37</v>
      </c>
      <c r="C400" s="251">
        <v>1</v>
      </c>
      <c r="D400" s="252">
        <v>0</v>
      </c>
      <c r="E400" s="252">
        <v>91</v>
      </c>
      <c r="F400" s="252">
        <v>0</v>
      </c>
      <c r="G400" s="252">
        <v>1</v>
      </c>
      <c r="H400" s="252">
        <v>18</v>
      </c>
      <c r="I400" s="252">
        <v>663</v>
      </c>
      <c r="J400" s="252">
        <v>16</v>
      </c>
      <c r="K400" s="252">
        <v>32</v>
      </c>
      <c r="L400" s="252">
        <v>49</v>
      </c>
      <c r="M400" s="252">
        <v>0</v>
      </c>
      <c r="N400" s="252">
        <v>8</v>
      </c>
      <c r="O400" s="252">
        <v>56</v>
      </c>
      <c r="P400" s="252">
        <v>0</v>
      </c>
      <c r="Q400" s="252">
        <v>288</v>
      </c>
      <c r="R400" s="252">
        <v>185</v>
      </c>
      <c r="S400" s="252">
        <v>131</v>
      </c>
      <c r="T400" s="252">
        <v>17</v>
      </c>
      <c r="U400" s="252">
        <v>1556</v>
      </c>
      <c r="V400" s="253">
        <v>-9</v>
      </c>
      <c r="W400" s="254">
        <v>1547</v>
      </c>
      <c r="X400" s="252">
        <v>92</v>
      </c>
      <c r="Y400" s="252">
        <v>664</v>
      </c>
      <c r="Z400" s="253">
        <v>800</v>
      </c>
      <c r="AA400" s="262">
        <v>5316</v>
      </c>
      <c r="AB400" s="272">
        <v>1510.9601560189026</v>
      </c>
    </row>
    <row r="401" spans="1:28" ht="13.5" customHeight="1">
      <c r="A401" s="18">
        <v>33</v>
      </c>
      <c r="B401" s="19" t="s">
        <v>38</v>
      </c>
      <c r="C401" s="251">
        <v>1072</v>
      </c>
      <c r="D401" s="252">
        <v>3</v>
      </c>
      <c r="E401" s="252">
        <v>44</v>
      </c>
      <c r="F401" s="252">
        <v>110</v>
      </c>
      <c r="G401" s="252">
        <v>1542</v>
      </c>
      <c r="H401" s="252">
        <v>216</v>
      </c>
      <c r="I401" s="252">
        <v>2189</v>
      </c>
      <c r="J401" s="252">
        <v>231</v>
      </c>
      <c r="K401" s="252">
        <v>101</v>
      </c>
      <c r="L401" s="252">
        <v>181</v>
      </c>
      <c r="M401" s="252">
        <v>0</v>
      </c>
      <c r="N401" s="252">
        <v>4</v>
      </c>
      <c r="O401" s="252">
        <v>107</v>
      </c>
      <c r="P401" s="252">
        <v>49</v>
      </c>
      <c r="Q401" s="252">
        <v>798</v>
      </c>
      <c r="R401" s="252">
        <v>322</v>
      </c>
      <c r="S401" s="252">
        <v>191</v>
      </c>
      <c r="T401" s="252">
        <v>141</v>
      </c>
      <c r="U401" s="252">
        <v>7301</v>
      </c>
      <c r="V401" s="253">
        <v>-42</v>
      </c>
      <c r="W401" s="254">
        <v>7259</v>
      </c>
      <c r="X401" s="252">
        <v>1119</v>
      </c>
      <c r="Y401" s="252">
        <v>3841</v>
      </c>
      <c r="Z401" s="253">
        <v>2341</v>
      </c>
      <c r="AA401" s="262">
        <v>6458</v>
      </c>
      <c r="AB401" s="272">
        <v>6988.8656456409981</v>
      </c>
    </row>
    <row r="402" spans="1:28" ht="13.5" customHeight="1">
      <c r="A402" s="18">
        <v>34</v>
      </c>
      <c r="B402" s="19" t="s">
        <v>39</v>
      </c>
      <c r="C402" s="251">
        <v>332</v>
      </c>
      <c r="D402" s="252">
        <v>0</v>
      </c>
      <c r="E402" s="252">
        <v>15</v>
      </c>
      <c r="F402" s="252">
        <v>0</v>
      </c>
      <c r="G402" s="252">
        <v>482</v>
      </c>
      <c r="H402" s="252">
        <v>77</v>
      </c>
      <c r="I402" s="252">
        <v>1331</v>
      </c>
      <c r="J402" s="252">
        <v>58</v>
      </c>
      <c r="K402" s="252">
        <v>114</v>
      </c>
      <c r="L402" s="252">
        <v>220</v>
      </c>
      <c r="M402" s="252">
        <v>0</v>
      </c>
      <c r="N402" s="252">
        <v>10</v>
      </c>
      <c r="O402" s="252">
        <v>30</v>
      </c>
      <c r="P402" s="252">
        <v>31</v>
      </c>
      <c r="Q402" s="252">
        <v>402</v>
      </c>
      <c r="R402" s="252">
        <v>244</v>
      </c>
      <c r="S402" s="252">
        <v>153</v>
      </c>
      <c r="T402" s="252">
        <v>57</v>
      </c>
      <c r="U402" s="252">
        <v>3556</v>
      </c>
      <c r="V402" s="253">
        <v>-21</v>
      </c>
      <c r="W402" s="254">
        <v>3535</v>
      </c>
      <c r="X402" s="252">
        <v>347</v>
      </c>
      <c r="Y402" s="252">
        <v>1813</v>
      </c>
      <c r="Z402" s="253">
        <v>1396</v>
      </c>
      <c r="AA402" s="262">
        <v>6159</v>
      </c>
      <c r="AB402" s="272">
        <v>3436.2297393052754</v>
      </c>
    </row>
    <row r="403" spans="1:28" ht="13.5" customHeight="1">
      <c r="A403" s="18">
        <v>35</v>
      </c>
      <c r="B403" s="19" t="s">
        <v>40</v>
      </c>
      <c r="C403" s="251">
        <v>146</v>
      </c>
      <c r="D403" s="252">
        <v>4</v>
      </c>
      <c r="E403" s="252">
        <v>113</v>
      </c>
      <c r="F403" s="252">
        <v>17</v>
      </c>
      <c r="G403" s="252">
        <v>300</v>
      </c>
      <c r="H403" s="252">
        <v>122</v>
      </c>
      <c r="I403" s="252">
        <v>1373</v>
      </c>
      <c r="J403" s="252">
        <v>217</v>
      </c>
      <c r="K403" s="252">
        <v>199</v>
      </c>
      <c r="L403" s="252">
        <v>137</v>
      </c>
      <c r="M403" s="252">
        <v>0</v>
      </c>
      <c r="N403" s="252">
        <v>15</v>
      </c>
      <c r="O403" s="252">
        <v>140</v>
      </c>
      <c r="P403" s="252">
        <v>81</v>
      </c>
      <c r="Q403" s="252">
        <v>668</v>
      </c>
      <c r="R403" s="252">
        <v>493</v>
      </c>
      <c r="S403" s="252">
        <v>258</v>
      </c>
      <c r="T403" s="252">
        <v>130</v>
      </c>
      <c r="U403" s="252">
        <v>4413</v>
      </c>
      <c r="V403" s="253">
        <v>-25</v>
      </c>
      <c r="W403" s="254">
        <v>4388</v>
      </c>
      <c r="X403" s="252">
        <v>263</v>
      </c>
      <c r="Y403" s="252">
        <v>1690</v>
      </c>
      <c r="Z403" s="253">
        <v>2460</v>
      </c>
      <c r="AA403" s="262">
        <v>5274</v>
      </c>
      <c r="AB403" s="272">
        <v>4277.8519467282167</v>
      </c>
    </row>
    <row r="404" spans="1:28" ht="13.5" customHeight="1">
      <c r="A404" s="18">
        <v>36</v>
      </c>
      <c r="B404" s="19" t="s">
        <v>41</v>
      </c>
      <c r="C404" s="251">
        <v>370</v>
      </c>
      <c r="D404" s="252">
        <v>0</v>
      </c>
      <c r="E404" s="252">
        <v>163</v>
      </c>
      <c r="F404" s="252">
        <v>0</v>
      </c>
      <c r="G404" s="252">
        <v>262</v>
      </c>
      <c r="H404" s="252">
        <v>13</v>
      </c>
      <c r="I404" s="252">
        <v>856</v>
      </c>
      <c r="J404" s="252">
        <v>165</v>
      </c>
      <c r="K404" s="252">
        <v>370</v>
      </c>
      <c r="L404" s="252">
        <v>200</v>
      </c>
      <c r="M404" s="252">
        <v>0</v>
      </c>
      <c r="N404" s="252">
        <v>8</v>
      </c>
      <c r="O404" s="252">
        <v>246</v>
      </c>
      <c r="P404" s="252">
        <v>37</v>
      </c>
      <c r="Q404" s="252">
        <v>681</v>
      </c>
      <c r="R404" s="252">
        <v>329</v>
      </c>
      <c r="S404" s="252">
        <v>370</v>
      </c>
      <c r="T404" s="252">
        <v>132</v>
      </c>
      <c r="U404" s="252">
        <v>4202</v>
      </c>
      <c r="V404" s="253">
        <v>-24</v>
      </c>
      <c r="W404" s="254">
        <v>4178</v>
      </c>
      <c r="X404" s="252">
        <v>533</v>
      </c>
      <c r="Y404" s="252">
        <v>1118</v>
      </c>
      <c r="Z404" s="253">
        <v>2551</v>
      </c>
      <c r="AA404" s="262">
        <v>4412</v>
      </c>
      <c r="AB404" s="272">
        <v>4034.8093019057092</v>
      </c>
    </row>
    <row r="405" spans="1:28" ht="13.5" customHeight="1">
      <c r="A405" s="18">
        <v>37</v>
      </c>
      <c r="B405" s="19" t="s">
        <v>49</v>
      </c>
      <c r="C405" s="251">
        <v>1303</v>
      </c>
      <c r="D405" s="252">
        <v>0</v>
      </c>
      <c r="E405" s="252">
        <v>683</v>
      </c>
      <c r="F405" s="252">
        <v>44</v>
      </c>
      <c r="G405" s="252">
        <v>2778</v>
      </c>
      <c r="H405" s="252">
        <v>1061</v>
      </c>
      <c r="I405" s="252">
        <v>1655</v>
      </c>
      <c r="J405" s="252">
        <v>1259</v>
      </c>
      <c r="K405" s="252">
        <v>942</v>
      </c>
      <c r="L405" s="252">
        <v>1247</v>
      </c>
      <c r="M405" s="252">
        <v>0</v>
      </c>
      <c r="N405" s="252">
        <v>206</v>
      </c>
      <c r="O405" s="252">
        <v>1921</v>
      </c>
      <c r="P405" s="252">
        <v>879</v>
      </c>
      <c r="Q405" s="252">
        <v>4135</v>
      </c>
      <c r="R405" s="252">
        <v>1704</v>
      </c>
      <c r="S405" s="252">
        <v>1949</v>
      </c>
      <c r="T405" s="252">
        <v>1132</v>
      </c>
      <c r="U405" s="252">
        <v>22898</v>
      </c>
      <c r="V405" s="253">
        <v>-133</v>
      </c>
      <c r="W405" s="254">
        <v>22765</v>
      </c>
      <c r="X405" s="252">
        <v>1986</v>
      </c>
      <c r="Y405" s="252">
        <v>4477</v>
      </c>
      <c r="Z405" s="253">
        <v>16435</v>
      </c>
      <c r="AA405" s="262">
        <v>4802</v>
      </c>
      <c r="AB405" s="272">
        <v>22192.477448106423</v>
      </c>
    </row>
    <row r="406" spans="1:28" ht="13.5" customHeight="1">
      <c r="A406" s="20">
        <v>38</v>
      </c>
      <c r="B406" s="21" t="s">
        <v>50</v>
      </c>
      <c r="C406" s="255">
        <v>2866</v>
      </c>
      <c r="D406" s="256">
        <v>0</v>
      </c>
      <c r="E406" s="256">
        <v>162</v>
      </c>
      <c r="F406" s="256">
        <v>83</v>
      </c>
      <c r="G406" s="256">
        <v>1910</v>
      </c>
      <c r="H406" s="256">
        <v>1865</v>
      </c>
      <c r="I406" s="256">
        <v>5576</v>
      </c>
      <c r="J406" s="256">
        <v>3358</v>
      </c>
      <c r="K406" s="256">
        <v>1713</v>
      </c>
      <c r="L406" s="256">
        <v>1039</v>
      </c>
      <c r="M406" s="256">
        <v>478</v>
      </c>
      <c r="N406" s="256">
        <v>616</v>
      </c>
      <c r="O406" s="256">
        <v>8327</v>
      </c>
      <c r="P406" s="256">
        <v>2408</v>
      </c>
      <c r="Q406" s="256">
        <v>6526</v>
      </c>
      <c r="R406" s="256">
        <v>5965</v>
      </c>
      <c r="S406" s="256">
        <v>11196</v>
      </c>
      <c r="T406" s="256">
        <v>2781</v>
      </c>
      <c r="U406" s="256">
        <v>56869</v>
      </c>
      <c r="V406" s="257">
        <v>-330</v>
      </c>
      <c r="W406" s="258">
        <v>56539</v>
      </c>
      <c r="X406" s="256">
        <v>3028</v>
      </c>
      <c r="Y406" s="256">
        <v>7569</v>
      </c>
      <c r="Z406" s="257">
        <v>46272</v>
      </c>
      <c r="AA406" s="263">
        <v>5034</v>
      </c>
      <c r="AB406" s="273">
        <v>55465.161999185584</v>
      </c>
    </row>
    <row r="407" spans="1:28" ht="13.5" customHeight="1">
      <c r="A407" s="20">
        <v>39</v>
      </c>
      <c r="B407" s="21" t="s">
        <v>42</v>
      </c>
      <c r="C407" s="243">
        <v>793</v>
      </c>
      <c r="D407" s="244">
        <v>0</v>
      </c>
      <c r="E407" s="244">
        <v>2</v>
      </c>
      <c r="F407" s="244">
        <v>0</v>
      </c>
      <c r="G407" s="244">
        <v>624</v>
      </c>
      <c r="H407" s="244">
        <v>85</v>
      </c>
      <c r="I407" s="244">
        <v>731</v>
      </c>
      <c r="J407" s="244">
        <v>118</v>
      </c>
      <c r="K407" s="244">
        <v>173</v>
      </c>
      <c r="L407" s="244">
        <v>110</v>
      </c>
      <c r="M407" s="244">
        <v>0</v>
      </c>
      <c r="N407" s="244">
        <v>11</v>
      </c>
      <c r="O407" s="244">
        <v>207</v>
      </c>
      <c r="P407" s="244">
        <v>58</v>
      </c>
      <c r="Q407" s="244">
        <v>639</v>
      </c>
      <c r="R407" s="244">
        <v>323</v>
      </c>
      <c r="S407" s="244">
        <v>163</v>
      </c>
      <c r="T407" s="244">
        <v>111</v>
      </c>
      <c r="U407" s="244">
        <v>4148</v>
      </c>
      <c r="V407" s="245">
        <v>-25</v>
      </c>
      <c r="W407" s="246">
        <v>4123</v>
      </c>
      <c r="X407" s="244">
        <v>795</v>
      </c>
      <c r="Y407" s="244">
        <v>1355</v>
      </c>
      <c r="Z407" s="245">
        <v>1998</v>
      </c>
      <c r="AA407" s="260">
        <v>5320</v>
      </c>
      <c r="AB407" s="270">
        <v>4015.9916338765556</v>
      </c>
    </row>
    <row r="408" spans="1:28" ht="13.5" customHeight="1">
      <c r="A408" s="18">
        <v>40</v>
      </c>
      <c r="B408" s="19" t="s">
        <v>43</v>
      </c>
      <c r="C408" s="247">
        <v>1279</v>
      </c>
      <c r="D408" s="248">
        <v>8</v>
      </c>
      <c r="E408" s="248">
        <v>133</v>
      </c>
      <c r="F408" s="248">
        <v>0</v>
      </c>
      <c r="G408" s="248">
        <v>680</v>
      </c>
      <c r="H408" s="248">
        <v>307</v>
      </c>
      <c r="I408" s="248">
        <v>1978</v>
      </c>
      <c r="J408" s="248">
        <v>371</v>
      </c>
      <c r="K408" s="248">
        <v>1101</v>
      </c>
      <c r="L408" s="248">
        <v>3148</v>
      </c>
      <c r="M408" s="248">
        <v>0</v>
      </c>
      <c r="N408" s="248">
        <v>21</v>
      </c>
      <c r="O408" s="248">
        <v>1006</v>
      </c>
      <c r="P408" s="248">
        <v>832</v>
      </c>
      <c r="Q408" s="248">
        <v>603</v>
      </c>
      <c r="R408" s="248">
        <v>2029</v>
      </c>
      <c r="S408" s="248">
        <v>453</v>
      </c>
      <c r="T408" s="248">
        <v>2111</v>
      </c>
      <c r="U408" s="248">
        <v>16060</v>
      </c>
      <c r="V408" s="249">
        <v>-93</v>
      </c>
      <c r="W408" s="250">
        <v>15967</v>
      </c>
      <c r="X408" s="248">
        <v>1420</v>
      </c>
      <c r="Y408" s="248">
        <v>2658</v>
      </c>
      <c r="Z408" s="249">
        <v>11982</v>
      </c>
      <c r="AA408" s="261">
        <v>5118</v>
      </c>
      <c r="AB408" s="271">
        <v>15449.157758947384</v>
      </c>
    </row>
    <row r="409" spans="1:28" ht="13.5" customHeight="1">
      <c r="A409" s="20">
        <v>41</v>
      </c>
      <c r="B409" s="21" t="s">
        <v>44</v>
      </c>
      <c r="C409" s="255">
        <v>202</v>
      </c>
      <c r="D409" s="256">
        <v>0</v>
      </c>
      <c r="E409" s="256">
        <v>47</v>
      </c>
      <c r="F409" s="256">
        <v>94</v>
      </c>
      <c r="G409" s="256">
        <v>448</v>
      </c>
      <c r="H409" s="256">
        <v>272</v>
      </c>
      <c r="I409" s="256">
        <v>2431</v>
      </c>
      <c r="J409" s="256">
        <v>180</v>
      </c>
      <c r="K409" s="256">
        <v>325</v>
      </c>
      <c r="L409" s="256">
        <v>481</v>
      </c>
      <c r="M409" s="256">
        <v>0</v>
      </c>
      <c r="N409" s="256">
        <v>9</v>
      </c>
      <c r="O409" s="256">
        <v>308</v>
      </c>
      <c r="P409" s="256">
        <v>197</v>
      </c>
      <c r="Q409" s="256">
        <v>2966</v>
      </c>
      <c r="R409" s="256">
        <v>660</v>
      </c>
      <c r="S409" s="256">
        <v>410</v>
      </c>
      <c r="T409" s="256">
        <v>222</v>
      </c>
      <c r="U409" s="256">
        <v>9252</v>
      </c>
      <c r="V409" s="257">
        <v>-54</v>
      </c>
      <c r="W409" s="258">
        <v>9198</v>
      </c>
      <c r="X409" s="256">
        <v>249</v>
      </c>
      <c r="Y409" s="256">
        <v>2973</v>
      </c>
      <c r="Z409" s="257">
        <v>6030</v>
      </c>
      <c r="AA409" s="263">
        <v>5961</v>
      </c>
      <c r="AB409" s="273">
        <v>8996.0069103524183</v>
      </c>
    </row>
    <row r="410" spans="1:28" ht="15.75" customHeight="1">
      <c r="A410" s="111" t="s">
        <v>146</v>
      </c>
      <c r="B410" s="7" t="s">
        <v>152</v>
      </c>
      <c r="C410" s="247">
        <v>14542</v>
      </c>
      <c r="D410" s="248">
        <v>181</v>
      </c>
      <c r="E410" s="248">
        <v>2235</v>
      </c>
      <c r="F410" s="248">
        <v>3122</v>
      </c>
      <c r="G410" s="248">
        <v>22435</v>
      </c>
      <c r="H410" s="248">
        <v>21173</v>
      </c>
      <c r="I410" s="248">
        <v>67166</v>
      </c>
      <c r="J410" s="248">
        <v>23467</v>
      </c>
      <c r="K410" s="248">
        <v>16791</v>
      </c>
      <c r="L410" s="248">
        <v>35360</v>
      </c>
      <c r="M410" s="248">
        <v>4446</v>
      </c>
      <c r="N410" s="248">
        <v>5879</v>
      </c>
      <c r="O410" s="248">
        <v>39197</v>
      </c>
      <c r="P410" s="248">
        <v>23051</v>
      </c>
      <c r="Q410" s="248">
        <v>30466</v>
      </c>
      <c r="R410" s="248">
        <v>33541</v>
      </c>
      <c r="S410" s="248">
        <v>51368</v>
      </c>
      <c r="T410" s="248">
        <v>25240</v>
      </c>
      <c r="U410" s="248">
        <v>419660</v>
      </c>
      <c r="V410" s="249">
        <v>-2438</v>
      </c>
      <c r="W410" s="250">
        <v>417222</v>
      </c>
      <c r="X410" s="248">
        <v>16958</v>
      </c>
      <c r="Y410" s="248">
        <v>92723</v>
      </c>
      <c r="Z410" s="249">
        <v>309979</v>
      </c>
      <c r="AA410" s="261">
        <v>5370</v>
      </c>
      <c r="AB410" s="271">
        <v>408507.70505637041</v>
      </c>
    </row>
    <row r="411" spans="1:28" ht="15.75" customHeight="1">
      <c r="A411" s="112" t="s">
        <v>147</v>
      </c>
      <c r="B411" s="17" t="s">
        <v>153</v>
      </c>
      <c r="C411" s="251">
        <v>5017</v>
      </c>
      <c r="D411" s="252">
        <v>13</v>
      </c>
      <c r="E411" s="252">
        <v>2029</v>
      </c>
      <c r="F411" s="252">
        <v>1805</v>
      </c>
      <c r="G411" s="252">
        <v>96809</v>
      </c>
      <c r="H411" s="252">
        <v>84292</v>
      </c>
      <c r="I411" s="252">
        <v>163864</v>
      </c>
      <c r="J411" s="252">
        <v>186785</v>
      </c>
      <c r="K411" s="252">
        <v>60955</v>
      </c>
      <c r="L411" s="252">
        <v>61313</v>
      </c>
      <c r="M411" s="252">
        <v>77027</v>
      </c>
      <c r="N411" s="252">
        <v>38691</v>
      </c>
      <c r="O411" s="252">
        <v>220093</v>
      </c>
      <c r="P411" s="252">
        <v>154324</v>
      </c>
      <c r="Q411" s="252">
        <v>97000</v>
      </c>
      <c r="R411" s="252">
        <v>102180</v>
      </c>
      <c r="S411" s="252">
        <v>204090</v>
      </c>
      <c r="T411" s="252">
        <v>94460</v>
      </c>
      <c r="U411" s="252">
        <v>1650747</v>
      </c>
      <c r="V411" s="253">
        <v>-9582</v>
      </c>
      <c r="W411" s="254">
        <v>1641165</v>
      </c>
      <c r="X411" s="252">
        <v>7059</v>
      </c>
      <c r="Y411" s="252">
        <v>262478</v>
      </c>
      <c r="Z411" s="253">
        <v>1381210</v>
      </c>
      <c r="AA411" s="262">
        <v>6025</v>
      </c>
      <c r="AB411" s="272">
        <v>1622819.8665901234</v>
      </c>
    </row>
    <row r="412" spans="1:28" ht="15.75" customHeight="1">
      <c r="A412" s="112" t="s">
        <v>148</v>
      </c>
      <c r="B412" s="17" t="s">
        <v>154</v>
      </c>
      <c r="C412" s="251">
        <v>14198</v>
      </c>
      <c r="D412" s="252">
        <v>18</v>
      </c>
      <c r="E412" s="252">
        <v>2802</v>
      </c>
      <c r="F412" s="252">
        <v>1430</v>
      </c>
      <c r="G412" s="252">
        <v>45888</v>
      </c>
      <c r="H412" s="252">
        <v>17707</v>
      </c>
      <c r="I412" s="252">
        <v>70550</v>
      </c>
      <c r="J412" s="252">
        <v>54675</v>
      </c>
      <c r="K412" s="252">
        <v>32995</v>
      </c>
      <c r="L412" s="252">
        <v>22556</v>
      </c>
      <c r="M412" s="252">
        <v>9153</v>
      </c>
      <c r="N412" s="252">
        <v>8385</v>
      </c>
      <c r="O412" s="252">
        <v>79374</v>
      </c>
      <c r="P412" s="252">
        <v>37777</v>
      </c>
      <c r="Q412" s="252">
        <v>44042</v>
      </c>
      <c r="R412" s="252">
        <v>39506</v>
      </c>
      <c r="S412" s="252">
        <v>102990</v>
      </c>
      <c r="T412" s="252">
        <v>35542</v>
      </c>
      <c r="U412" s="252">
        <v>619588</v>
      </c>
      <c r="V412" s="253">
        <v>-3597</v>
      </c>
      <c r="W412" s="254">
        <v>615991</v>
      </c>
      <c r="X412" s="252">
        <v>17018</v>
      </c>
      <c r="Y412" s="252">
        <v>117868</v>
      </c>
      <c r="Z412" s="253">
        <v>484702</v>
      </c>
      <c r="AA412" s="262">
        <v>5185</v>
      </c>
      <c r="AB412" s="272">
        <v>605741.48943655856</v>
      </c>
    </row>
    <row r="413" spans="1:28" ht="15.75" customHeight="1">
      <c r="A413" s="112" t="s">
        <v>149</v>
      </c>
      <c r="B413" s="17" t="s">
        <v>155</v>
      </c>
      <c r="C413" s="251">
        <v>282</v>
      </c>
      <c r="D413" s="252">
        <v>36</v>
      </c>
      <c r="E413" s="252">
        <v>2471</v>
      </c>
      <c r="F413" s="252">
        <v>519</v>
      </c>
      <c r="G413" s="252">
        <v>13989</v>
      </c>
      <c r="H413" s="252">
        <v>31136</v>
      </c>
      <c r="I413" s="252">
        <v>91544</v>
      </c>
      <c r="J413" s="252">
        <v>123487</v>
      </c>
      <c r="K413" s="252">
        <v>150811</v>
      </c>
      <c r="L413" s="252">
        <v>60418</v>
      </c>
      <c r="M413" s="252">
        <v>109101</v>
      </c>
      <c r="N413" s="252">
        <v>88004</v>
      </c>
      <c r="O413" s="252">
        <v>137586</v>
      </c>
      <c r="P413" s="252">
        <v>179794</v>
      </c>
      <c r="Q413" s="252">
        <v>201996</v>
      </c>
      <c r="R413" s="252">
        <v>40355</v>
      </c>
      <c r="S413" s="252">
        <v>116574</v>
      </c>
      <c r="T413" s="252">
        <v>58357</v>
      </c>
      <c r="U413" s="252">
        <v>1406460</v>
      </c>
      <c r="V413" s="253">
        <v>-8157</v>
      </c>
      <c r="W413" s="254">
        <v>1398303</v>
      </c>
      <c r="X413" s="252">
        <v>2789</v>
      </c>
      <c r="Y413" s="252">
        <v>106052</v>
      </c>
      <c r="Z413" s="253">
        <v>1297619</v>
      </c>
      <c r="AA413" s="262">
        <v>7385</v>
      </c>
      <c r="AB413" s="272">
        <v>1378910.8291402764</v>
      </c>
    </row>
    <row r="414" spans="1:28" ht="15.75" customHeight="1">
      <c r="A414" s="112" t="s">
        <v>150</v>
      </c>
      <c r="B414" s="17" t="s">
        <v>156</v>
      </c>
      <c r="C414" s="251">
        <v>8020</v>
      </c>
      <c r="D414" s="252">
        <v>45</v>
      </c>
      <c r="E414" s="252">
        <v>772</v>
      </c>
      <c r="F414" s="252">
        <v>337</v>
      </c>
      <c r="G414" s="252">
        <v>9379</v>
      </c>
      <c r="H414" s="252">
        <v>6472</v>
      </c>
      <c r="I414" s="252">
        <v>36317</v>
      </c>
      <c r="J414" s="252">
        <v>19293</v>
      </c>
      <c r="K414" s="252">
        <v>10112</v>
      </c>
      <c r="L414" s="252">
        <v>9717</v>
      </c>
      <c r="M414" s="252">
        <v>2237</v>
      </c>
      <c r="N414" s="252">
        <v>2446</v>
      </c>
      <c r="O414" s="252">
        <v>15617</v>
      </c>
      <c r="P414" s="252">
        <v>12601</v>
      </c>
      <c r="Q414" s="252">
        <v>18077</v>
      </c>
      <c r="R414" s="252">
        <v>10354</v>
      </c>
      <c r="S414" s="252">
        <v>20482</v>
      </c>
      <c r="T414" s="252">
        <v>7341</v>
      </c>
      <c r="U414" s="252">
        <v>189619</v>
      </c>
      <c r="V414" s="253">
        <v>-1102</v>
      </c>
      <c r="W414" s="254">
        <v>188517</v>
      </c>
      <c r="X414" s="252">
        <v>8837</v>
      </c>
      <c r="Y414" s="252">
        <v>46033</v>
      </c>
      <c r="Z414" s="253">
        <v>134749</v>
      </c>
      <c r="AA414" s="262">
        <v>6096</v>
      </c>
      <c r="AB414" s="272">
        <v>184039.46234465938</v>
      </c>
    </row>
    <row r="415" spans="1:28" ht="15.75" customHeight="1">
      <c r="A415" s="113" t="s">
        <v>151</v>
      </c>
      <c r="B415" s="105" t="s">
        <v>157</v>
      </c>
      <c r="C415" s="255">
        <v>7004</v>
      </c>
      <c r="D415" s="256">
        <v>29</v>
      </c>
      <c r="E415" s="256">
        <v>979</v>
      </c>
      <c r="F415" s="256">
        <v>386</v>
      </c>
      <c r="G415" s="256">
        <v>6938</v>
      </c>
      <c r="H415" s="256">
        <v>7701</v>
      </c>
      <c r="I415" s="256">
        <v>25787</v>
      </c>
      <c r="J415" s="256">
        <v>12937</v>
      </c>
      <c r="K415" s="256">
        <v>16598</v>
      </c>
      <c r="L415" s="256">
        <v>16011</v>
      </c>
      <c r="M415" s="256">
        <v>1993</v>
      </c>
      <c r="N415" s="256">
        <v>2732</v>
      </c>
      <c r="O415" s="256">
        <v>17564</v>
      </c>
      <c r="P415" s="256">
        <v>16258</v>
      </c>
      <c r="Q415" s="256">
        <v>23684</v>
      </c>
      <c r="R415" s="256">
        <v>11686</v>
      </c>
      <c r="S415" s="256">
        <v>14531</v>
      </c>
      <c r="T415" s="256">
        <v>10309</v>
      </c>
      <c r="U415" s="256">
        <v>193127</v>
      </c>
      <c r="V415" s="257">
        <v>-1121</v>
      </c>
      <c r="W415" s="258">
        <v>192006</v>
      </c>
      <c r="X415" s="256">
        <v>8012</v>
      </c>
      <c r="Y415" s="256">
        <v>33111</v>
      </c>
      <c r="Z415" s="257">
        <v>152004</v>
      </c>
      <c r="AA415" s="263">
        <v>6250</v>
      </c>
      <c r="AB415" s="273">
        <v>187512.82989824517</v>
      </c>
    </row>
    <row r="416" spans="1:28" ht="15.75" customHeight="1">
      <c r="A416" s="222" t="s">
        <v>293</v>
      </c>
      <c r="B416" s="25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</row>
    <row r="417" spans="1:28" ht="15.75" customHeight="1">
      <c r="A417" s="222" t="s">
        <v>292</v>
      </c>
    </row>
    <row r="418" spans="1:28" ht="13.5" customHeight="1">
      <c r="A418" s="49">
        <v>1</v>
      </c>
      <c r="B418" s="50" t="str">
        <f>IF(A418&lt;22,"令和"&amp;A418&amp;"年度","平成"&amp;A418&amp;"年度")</f>
        <v>令和1年度</v>
      </c>
      <c r="C418" s="4" t="s">
        <v>75</v>
      </c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1"/>
      <c r="Y418" s="2"/>
      <c r="Z418" s="57"/>
      <c r="AA418" s="57"/>
      <c r="AB418" s="57"/>
    </row>
    <row r="419" spans="1:28" ht="45" customHeight="1">
      <c r="A419" s="186"/>
      <c r="B419" s="76"/>
      <c r="C419" s="77" t="s">
        <v>51</v>
      </c>
      <c r="D419" s="77" t="s">
        <v>52</v>
      </c>
      <c r="E419" s="77" t="s">
        <v>53</v>
      </c>
      <c r="F419" s="77" t="s">
        <v>54</v>
      </c>
      <c r="G419" s="77" t="s">
        <v>55</v>
      </c>
      <c r="H419" s="77" t="s">
        <v>56</v>
      </c>
      <c r="I419" s="77" t="s">
        <v>57</v>
      </c>
      <c r="J419" s="77" t="s">
        <v>58</v>
      </c>
      <c r="K419" s="77" t="s">
        <v>59</v>
      </c>
      <c r="L419" s="77" t="s">
        <v>60</v>
      </c>
      <c r="M419" s="77" t="s">
        <v>61</v>
      </c>
      <c r="N419" s="77" t="s">
        <v>62</v>
      </c>
      <c r="O419" s="77" t="s">
        <v>63</v>
      </c>
      <c r="P419" s="77" t="s">
        <v>64</v>
      </c>
      <c r="Q419" s="77" t="s">
        <v>65</v>
      </c>
      <c r="R419" s="77" t="s">
        <v>66</v>
      </c>
      <c r="S419" s="77" t="s">
        <v>67</v>
      </c>
      <c r="T419" s="77" t="s">
        <v>68</v>
      </c>
      <c r="U419" s="77" t="s">
        <v>70</v>
      </c>
      <c r="V419" s="78" t="s">
        <v>69</v>
      </c>
      <c r="W419" s="79" t="s">
        <v>71</v>
      </c>
      <c r="X419" s="77" t="s">
        <v>72</v>
      </c>
      <c r="Y419" s="77" t="s">
        <v>73</v>
      </c>
      <c r="Z419" s="77" t="s">
        <v>74</v>
      </c>
      <c r="AA419" s="259" t="s">
        <v>277</v>
      </c>
      <c r="AB419" s="269" t="s">
        <v>278</v>
      </c>
    </row>
    <row r="420" spans="1:28" ht="13.5" customHeight="1">
      <c r="A420" s="153" t="s">
        <v>160</v>
      </c>
      <c r="B420" s="22" t="s">
        <v>0</v>
      </c>
      <c r="C420" s="243">
        <v>46941</v>
      </c>
      <c r="D420" s="244">
        <v>390</v>
      </c>
      <c r="E420" s="244">
        <v>10516</v>
      </c>
      <c r="F420" s="244">
        <v>8128</v>
      </c>
      <c r="G420" s="244">
        <v>188298</v>
      </c>
      <c r="H420" s="244">
        <v>182354</v>
      </c>
      <c r="I420" s="244">
        <v>473538</v>
      </c>
      <c r="J420" s="244">
        <v>410688</v>
      </c>
      <c r="K420" s="244">
        <v>283130</v>
      </c>
      <c r="L420" s="244">
        <v>192840</v>
      </c>
      <c r="M420" s="244">
        <v>189543</v>
      </c>
      <c r="N420" s="244">
        <v>152631</v>
      </c>
      <c r="O420" s="244">
        <v>529083</v>
      </c>
      <c r="P420" s="244">
        <v>416817</v>
      </c>
      <c r="Q420" s="244">
        <v>434122</v>
      </c>
      <c r="R420" s="244">
        <v>240022</v>
      </c>
      <c r="S420" s="244">
        <v>526646</v>
      </c>
      <c r="T420" s="244">
        <v>226436</v>
      </c>
      <c r="U420" s="244">
        <v>4512123</v>
      </c>
      <c r="V420" s="245">
        <v>-33131</v>
      </c>
      <c r="W420" s="246">
        <v>4478992</v>
      </c>
      <c r="X420" s="244">
        <v>57847</v>
      </c>
      <c r="Y420" s="244">
        <v>669964</v>
      </c>
      <c r="Z420" s="245">
        <v>3784312</v>
      </c>
      <c r="AA420" s="260">
        <v>6053</v>
      </c>
      <c r="AB420" s="270">
        <v>4375445</v>
      </c>
    </row>
    <row r="421" spans="1:28" ht="13.5" customHeight="1">
      <c r="A421" s="16" t="s">
        <v>1</v>
      </c>
      <c r="B421" s="17" t="s">
        <v>2</v>
      </c>
      <c r="C421" s="247">
        <v>311</v>
      </c>
      <c r="D421" s="248">
        <v>46</v>
      </c>
      <c r="E421" s="248">
        <v>2243</v>
      </c>
      <c r="F421" s="248">
        <v>559</v>
      </c>
      <c r="G421" s="248">
        <v>11400</v>
      </c>
      <c r="H421" s="248">
        <v>33247</v>
      </c>
      <c r="I421" s="248">
        <v>86858</v>
      </c>
      <c r="J421" s="248">
        <v>120071</v>
      </c>
      <c r="K421" s="248">
        <v>144921</v>
      </c>
      <c r="L421" s="248">
        <v>56152</v>
      </c>
      <c r="M421" s="248">
        <v>102080</v>
      </c>
      <c r="N421" s="248">
        <v>91241</v>
      </c>
      <c r="O421" s="248">
        <v>141894</v>
      </c>
      <c r="P421" s="248">
        <v>176920</v>
      </c>
      <c r="Q421" s="248">
        <v>210237</v>
      </c>
      <c r="R421" s="248">
        <v>40731</v>
      </c>
      <c r="S421" s="248">
        <v>121250</v>
      </c>
      <c r="T421" s="248">
        <v>57503</v>
      </c>
      <c r="U421" s="248">
        <v>1397664</v>
      </c>
      <c r="V421" s="249">
        <v>-10263</v>
      </c>
      <c r="W421" s="250">
        <v>1387401</v>
      </c>
      <c r="X421" s="248">
        <v>2600</v>
      </c>
      <c r="Y421" s="248">
        <v>98817</v>
      </c>
      <c r="Z421" s="249">
        <v>1296247</v>
      </c>
      <c r="AA421" s="261">
        <v>7119</v>
      </c>
      <c r="AB421" s="271">
        <v>1356575.9860659291</v>
      </c>
    </row>
    <row r="422" spans="1:28" ht="13.5" customHeight="1">
      <c r="A422" s="18" t="s">
        <v>3</v>
      </c>
      <c r="B422" s="19" t="s">
        <v>4</v>
      </c>
      <c r="C422" s="251">
        <v>114</v>
      </c>
      <c r="D422" s="252">
        <v>0</v>
      </c>
      <c r="E422" s="252">
        <v>142</v>
      </c>
      <c r="F422" s="252">
        <v>547</v>
      </c>
      <c r="G422" s="252">
        <v>5165</v>
      </c>
      <c r="H422" s="252">
        <v>8021</v>
      </c>
      <c r="I422" s="252">
        <v>21185</v>
      </c>
      <c r="J422" s="252">
        <v>24040</v>
      </c>
      <c r="K422" s="252">
        <v>5367</v>
      </c>
      <c r="L422" s="252">
        <v>7664</v>
      </c>
      <c r="M422" s="252">
        <v>14536</v>
      </c>
      <c r="N422" s="252">
        <v>4965</v>
      </c>
      <c r="O422" s="252">
        <v>36341</v>
      </c>
      <c r="P422" s="252">
        <v>21138</v>
      </c>
      <c r="Q422" s="252">
        <v>9092</v>
      </c>
      <c r="R422" s="252">
        <v>12898</v>
      </c>
      <c r="S422" s="252">
        <v>21136</v>
      </c>
      <c r="T422" s="252">
        <v>12801</v>
      </c>
      <c r="U422" s="252">
        <v>205152</v>
      </c>
      <c r="V422" s="253">
        <v>-1506</v>
      </c>
      <c r="W422" s="254">
        <v>203646</v>
      </c>
      <c r="X422" s="252">
        <v>256</v>
      </c>
      <c r="Y422" s="252">
        <v>26897</v>
      </c>
      <c r="Z422" s="253">
        <v>177999</v>
      </c>
      <c r="AA422" s="262">
        <v>5391</v>
      </c>
      <c r="AB422" s="272">
        <v>199723.74618598307</v>
      </c>
    </row>
    <row r="423" spans="1:28" ht="13.5" customHeight="1">
      <c r="A423" s="18" t="s">
        <v>5</v>
      </c>
      <c r="B423" s="19" t="s">
        <v>6</v>
      </c>
      <c r="C423" s="251">
        <v>5189</v>
      </c>
      <c r="D423" s="252">
        <v>24</v>
      </c>
      <c r="E423" s="252">
        <v>723</v>
      </c>
      <c r="F423" s="252">
        <v>311</v>
      </c>
      <c r="G423" s="252">
        <v>4576</v>
      </c>
      <c r="H423" s="252">
        <v>7532</v>
      </c>
      <c r="I423" s="252">
        <v>25888</v>
      </c>
      <c r="J423" s="252">
        <v>12174</v>
      </c>
      <c r="K423" s="252">
        <v>15161</v>
      </c>
      <c r="L423" s="252">
        <v>11542</v>
      </c>
      <c r="M423" s="252">
        <v>1762</v>
      </c>
      <c r="N423" s="252">
        <v>2755</v>
      </c>
      <c r="O423" s="252">
        <v>16811</v>
      </c>
      <c r="P423" s="252">
        <v>14638</v>
      </c>
      <c r="Q423" s="252">
        <v>20784</v>
      </c>
      <c r="R423" s="252">
        <v>8921</v>
      </c>
      <c r="S423" s="252">
        <v>14079</v>
      </c>
      <c r="T423" s="252">
        <v>7986</v>
      </c>
      <c r="U423" s="252">
        <v>170856</v>
      </c>
      <c r="V423" s="253">
        <v>-1255</v>
      </c>
      <c r="W423" s="254">
        <v>169601</v>
      </c>
      <c r="X423" s="252">
        <v>5936</v>
      </c>
      <c r="Y423" s="252">
        <v>30775</v>
      </c>
      <c r="Z423" s="253">
        <v>134145</v>
      </c>
      <c r="AA423" s="262">
        <v>6576</v>
      </c>
      <c r="AB423" s="272">
        <v>164194.80143464924</v>
      </c>
    </row>
    <row r="424" spans="1:28" ht="13.5" customHeight="1">
      <c r="A424" s="18" t="s">
        <v>7</v>
      </c>
      <c r="B424" s="19" t="s">
        <v>8</v>
      </c>
      <c r="C424" s="251">
        <v>21</v>
      </c>
      <c r="D424" s="252">
        <v>2</v>
      </c>
      <c r="E424" s="252">
        <v>203</v>
      </c>
      <c r="F424" s="252">
        <v>150</v>
      </c>
      <c r="G424" s="252">
        <v>20457</v>
      </c>
      <c r="H424" s="252">
        <v>16447</v>
      </c>
      <c r="I424" s="252">
        <v>23837</v>
      </c>
      <c r="J424" s="252">
        <v>77613</v>
      </c>
      <c r="K424" s="252">
        <v>23094</v>
      </c>
      <c r="L424" s="252">
        <v>8795</v>
      </c>
      <c r="M424" s="252">
        <v>32566</v>
      </c>
      <c r="N424" s="252">
        <v>11945</v>
      </c>
      <c r="O424" s="252">
        <v>43992</v>
      </c>
      <c r="P424" s="252">
        <v>48470</v>
      </c>
      <c r="Q424" s="252">
        <v>14351</v>
      </c>
      <c r="R424" s="252">
        <v>18310</v>
      </c>
      <c r="S424" s="252">
        <v>42014</v>
      </c>
      <c r="T424" s="252">
        <v>18115</v>
      </c>
      <c r="U424" s="252">
        <v>400382</v>
      </c>
      <c r="V424" s="253">
        <v>-2940</v>
      </c>
      <c r="W424" s="254">
        <v>397442</v>
      </c>
      <c r="X424" s="252">
        <v>226</v>
      </c>
      <c r="Y424" s="252">
        <v>44444</v>
      </c>
      <c r="Z424" s="253">
        <v>355712</v>
      </c>
      <c r="AA424" s="262">
        <v>6520</v>
      </c>
      <c r="AB424" s="272">
        <v>391534.62692141184</v>
      </c>
    </row>
    <row r="425" spans="1:28" ht="13.5" customHeight="1">
      <c r="A425" s="16" t="s">
        <v>9</v>
      </c>
      <c r="B425" s="17" t="s">
        <v>10</v>
      </c>
      <c r="C425" s="251">
        <v>2378</v>
      </c>
      <c r="D425" s="252">
        <v>76</v>
      </c>
      <c r="E425" s="252">
        <v>396</v>
      </c>
      <c r="F425" s="252">
        <v>1734</v>
      </c>
      <c r="G425" s="252">
        <v>15630</v>
      </c>
      <c r="H425" s="252">
        <v>7678</v>
      </c>
      <c r="I425" s="252">
        <v>22716</v>
      </c>
      <c r="J425" s="252">
        <v>15955</v>
      </c>
      <c r="K425" s="252">
        <v>6781</v>
      </c>
      <c r="L425" s="252">
        <v>12211</v>
      </c>
      <c r="M425" s="252">
        <v>2920</v>
      </c>
      <c r="N425" s="252">
        <v>4686</v>
      </c>
      <c r="O425" s="252">
        <v>20857</v>
      </c>
      <c r="P425" s="252">
        <v>14739</v>
      </c>
      <c r="Q425" s="252">
        <v>14453</v>
      </c>
      <c r="R425" s="252">
        <v>14882</v>
      </c>
      <c r="S425" s="252">
        <v>32967</v>
      </c>
      <c r="T425" s="252">
        <v>9247</v>
      </c>
      <c r="U425" s="252">
        <v>200306</v>
      </c>
      <c r="V425" s="253">
        <v>-1470</v>
      </c>
      <c r="W425" s="254">
        <v>198836</v>
      </c>
      <c r="X425" s="252">
        <v>2850</v>
      </c>
      <c r="Y425" s="252">
        <v>40080</v>
      </c>
      <c r="Z425" s="253">
        <v>157376</v>
      </c>
      <c r="AA425" s="262">
        <v>5640</v>
      </c>
      <c r="AB425" s="272">
        <v>193805.68807623294</v>
      </c>
    </row>
    <row r="426" spans="1:28" ht="13.5" customHeight="1">
      <c r="A426" s="18" t="s">
        <v>11</v>
      </c>
      <c r="B426" s="19" t="s">
        <v>12</v>
      </c>
      <c r="C426" s="251">
        <v>3543</v>
      </c>
      <c r="D426" s="252">
        <v>0</v>
      </c>
      <c r="E426" s="252">
        <v>478</v>
      </c>
      <c r="F426" s="252">
        <v>985</v>
      </c>
      <c r="G426" s="252">
        <v>19388</v>
      </c>
      <c r="H426" s="252">
        <v>3401</v>
      </c>
      <c r="I426" s="252">
        <v>13206</v>
      </c>
      <c r="J426" s="252">
        <v>11237</v>
      </c>
      <c r="K426" s="252">
        <v>8487</v>
      </c>
      <c r="L426" s="252">
        <v>5501</v>
      </c>
      <c r="M426" s="252">
        <v>888</v>
      </c>
      <c r="N426" s="252">
        <v>2117</v>
      </c>
      <c r="O426" s="252">
        <v>18372</v>
      </c>
      <c r="P426" s="252">
        <v>4520</v>
      </c>
      <c r="Q426" s="252">
        <v>8431</v>
      </c>
      <c r="R426" s="252">
        <v>9749</v>
      </c>
      <c r="S426" s="252">
        <v>20100</v>
      </c>
      <c r="T426" s="252">
        <v>8208</v>
      </c>
      <c r="U426" s="252">
        <v>138611</v>
      </c>
      <c r="V426" s="253">
        <v>-1018</v>
      </c>
      <c r="W426" s="254">
        <v>137593</v>
      </c>
      <c r="X426" s="252">
        <v>4021</v>
      </c>
      <c r="Y426" s="252">
        <v>33579</v>
      </c>
      <c r="Z426" s="253">
        <v>101011</v>
      </c>
      <c r="AA426" s="262">
        <v>4633</v>
      </c>
      <c r="AB426" s="272">
        <v>134528.71602115605</v>
      </c>
    </row>
    <row r="427" spans="1:28" ht="13.5" customHeight="1">
      <c r="A427" s="18" t="s">
        <v>13</v>
      </c>
      <c r="B427" s="19" t="s">
        <v>14</v>
      </c>
      <c r="C427" s="251">
        <v>1034</v>
      </c>
      <c r="D427" s="252">
        <v>4</v>
      </c>
      <c r="E427" s="252">
        <v>174</v>
      </c>
      <c r="F427" s="252">
        <v>259</v>
      </c>
      <c r="G427" s="252">
        <v>13016</v>
      </c>
      <c r="H427" s="252">
        <v>10549</v>
      </c>
      <c r="I427" s="252">
        <v>43770</v>
      </c>
      <c r="J427" s="252">
        <v>24184</v>
      </c>
      <c r="K427" s="252">
        <v>10889</v>
      </c>
      <c r="L427" s="252">
        <v>13478</v>
      </c>
      <c r="M427" s="252">
        <v>3398</v>
      </c>
      <c r="N427" s="252">
        <v>10851</v>
      </c>
      <c r="O427" s="252">
        <v>49580</v>
      </c>
      <c r="P427" s="252">
        <v>33220</v>
      </c>
      <c r="Q427" s="252">
        <v>29370</v>
      </c>
      <c r="R427" s="252">
        <v>19923</v>
      </c>
      <c r="S427" s="252">
        <v>57682</v>
      </c>
      <c r="T427" s="252">
        <v>19833</v>
      </c>
      <c r="U427" s="252">
        <v>341214</v>
      </c>
      <c r="V427" s="253">
        <v>-2506</v>
      </c>
      <c r="W427" s="254">
        <v>338708</v>
      </c>
      <c r="X427" s="252">
        <v>1212</v>
      </c>
      <c r="Y427" s="252">
        <v>57045</v>
      </c>
      <c r="Z427" s="253">
        <v>282957</v>
      </c>
      <c r="AA427" s="262">
        <v>6009</v>
      </c>
      <c r="AB427" s="272">
        <v>331065.39125916734</v>
      </c>
    </row>
    <row r="428" spans="1:28" ht="13.5" customHeight="1">
      <c r="A428" s="18" t="s">
        <v>15</v>
      </c>
      <c r="B428" s="19" t="s">
        <v>45</v>
      </c>
      <c r="C428" s="251">
        <v>1179</v>
      </c>
      <c r="D428" s="252">
        <v>1</v>
      </c>
      <c r="E428" s="252">
        <v>333</v>
      </c>
      <c r="F428" s="252">
        <v>35</v>
      </c>
      <c r="G428" s="252">
        <v>5050</v>
      </c>
      <c r="H428" s="252">
        <v>4047</v>
      </c>
      <c r="I428" s="252">
        <v>13979</v>
      </c>
      <c r="J428" s="252">
        <v>15968</v>
      </c>
      <c r="K428" s="252">
        <v>11969</v>
      </c>
      <c r="L428" s="252">
        <v>5627</v>
      </c>
      <c r="M428" s="252">
        <v>6276</v>
      </c>
      <c r="N428" s="252">
        <v>2311</v>
      </c>
      <c r="O428" s="252">
        <v>20984</v>
      </c>
      <c r="P428" s="252">
        <v>19828</v>
      </c>
      <c r="Q428" s="252">
        <v>6500</v>
      </c>
      <c r="R428" s="252">
        <v>7668</v>
      </c>
      <c r="S428" s="252">
        <v>29097</v>
      </c>
      <c r="T428" s="252">
        <v>7354</v>
      </c>
      <c r="U428" s="252">
        <v>158206</v>
      </c>
      <c r="V428" s="253">
        <v>-1161</v>
      </c>
      <c r="W428" s="254">
        <v>157045</v>
      </c>
      <c r="X428" s="252">
        <v>1513</v>
      </c>
      <c r="Y428" s="252">
        <v>19064</v>
      </c>
      <c r="Z428" s="253">
        <v>137629</v>
      </c>
      <c r="AA428" s="262">
        <v>5538</v>
      </c>
      <c r="AB428" s="272">
        <v>153452.06967704775</v>
      </c>
    </row>
    <row r="429" spans="1:28" ht="13.5" customHeight="1">
      <c r="A429" s="18" t="s">
        <v>16</v>
      </c>
      <c r="B429" s="19" t="s">
        <v>46</v>
      </c>
      <c r="C429" s="251">
        <v>2122</v>
      </c>
      <c r="D429" s="252">
        <v>2</v>
      </c>
      <c r="E429" s="252">
        <v>1055</v>
      </c>
      <c r="F429" s="252">
        <v>461</v>
      </c>
      <c r="G429" s="252">
        <v>24404</v>
      </c>
      <c r="H429" s="252">
        <v>26012</v>
      </c>
      <c r="I429" s="252">
        <v>26562</v>
      </c>
      <c r="J429" s="252">
        <v>22964</v>
      </c>
      <c r="K429" s="252">
        <v>11072</v>
      </c>
      <c r="L429" s="252">
        <v>8015</v>
      </c>
      <c r="M429" s="252">
        <v>10292</v>
      </c>
      <c r="N429" s="252">
        <v>5352</v>
      </c>
      <c r="O429" s="252">
        <v>40495</v>
      </c>
      <c r="P429" s="252">
        <v>28257</v>
      </c>
      <c r="Q429" s="252">
        <v>22762</v>
      </c>
      <c r="R429" s="252">
        <v>15741</v>
      </c>
      <c r="S429" s="252">
        <v>35000</v>
      </c>
      <c r="T429" s="252">
        <v>15371</v>
      </c>
      <c r="U429" s="252">
        <v>295939</v>
      </c>
      <c r="V429" s="253">
        <v>-2173</v>
      </c>
      <c r="W429" s="254">
        <v>293766</v>
      </c>
      <c r="X429" s="252">
        <v>3179</v>
      </c>
      <c r="Y429" s="252">
        <v>51427</v>
      </c>
      <c r="Z429" s="253">
        <v>241333</v>
      </c>
      <c r="AA429" s="262">
        <v>6039</v>
      </c>
      <c r="AB429" s="272">
        <v>288473.31985009904</v>
      </c>
    </row>
    <row r="430" spans="1:28" ht="13.5" customHeight="1">
      <c r="A430" s="18">
        <v>10</v>
      </c>
      <c r="B430" s="19" t="s">
        <v>47</v>
      </c>
      <c r="C430" s="251">
        <v>6792</v>
      </c>
      <c r="D430" s="252">
        <v>57</v>
      </c>
      <c r="E430" s="252">
        <v>719</v>
      </c>
      <c r="F430" s="252">
        <v>363</v>
      </c>
      <c r="G430" s="252">
        <v>7917</v>
      </c>
      <c r="H430" s="252">
        <v>7047</v>
      </c>
      <c r="I430" s="252">
        <v>38413</v>
      </c>
      <c r="J430" s="252">
        <v>18813</v>
      </c>
      <c r="K430" s="252">
        <v>10586</v>
      </c>
      <c r="L430" s="252">
        <v>9533</v>
      </c>
      <c r="M430" s="252">
        <v>2181</v>
      </c>
      <c r="N430" s="252">
        <v>2597</v>
      </c>
      <c r="O430" s="252">
        <v>16229</v>
      </c>
      <c r="P430" s="252">
        <v>12354</v>
      </c>
      <c r="Q430" s="252">
        <v>23031</v>
      </c>
      <c r="R430" s="252">
        <v>10034</v>
      </c>
      <c r="S430" s="252">
        <v>20603</v>
      </c>
      <c r="T430" s="252">
        <v>7310</v>
      </c>
      <c r="U430" s="252">
        <v>194579</v>
      </c>
      <c r="V430" s="253">
        <v>-1428</v>
      </c>
      <c r="W430" s="254">
        <v>193151</v>
      </c>
      <c r="X430" s="252">
        <v>7568</v>
      </c>
      <c r="Y430" s="252">
        <v>46693</v>
      </c>
      <c r="Z430" s="253">
        <v>140318</v>
      </c>
      <c r="AA430" s="262">
        <v>6168</v>
      </c>
      <c r="AB430" s="272">
        <v>186898.70064579189</v>
      </c>
    </row>
    <row r="431" spans="1:28" ht="13.5" customHeight="1">
      <c r="A431" s="20">
        <v>11</v>
      </c>
      <c r="B431" s="21" t="s">
        <v>48</v>
      </c>
      <c r="C431" s="255">
        <v>2890</v>
      </c>
      <c r="D431" s="256">
        <v>6</v>
      </c>
      <c r="E431" s="256">
        <v>603</v>
      </c>
      <c r="F431" s="256">
        <v>132</v>
      </c>
      <c r="G431" s="256">
        <v>7650</v>
      </c>
      <c r="H431" s="256">
        <v>3666</v>
      </c>
      <c r="I431" s="256">
        <v>16384</v>
      </c>
      <c r="J431" s="256">
        <v>4232</v>
      </c>
      <c r="K431" s="256">
        <v>4136</v>
      </c>
      <c r="L431" s="256">
        <v>1922</v>
      </c>
      <c r="M431" s="256">
        <v>1486</v>
      </c>
      <c r="N431" s="256">
        <v>468</v>
      </c>
      <c r="O431" s="256">
        <v>12458</v>
      </c>
      <c r="P431" s="256">
        <v>3386</v>
      </c>
      <c r="Q431" s="256">
        <v>10252</v>
      </c>
      <c r="R431" s="256">
        <v>4128</v>
      </c>
      <c r="S431" s="256">
        <v>9990</v>
      </c>
      <c r="T431" s="256">
        <v>5171</v>
      </c>
      <c r="U431" s="256">
        <v>88960</v>
      </c>
      <c r="V431" s="257">
        <v>-653</v>
      </c>
      <c r="W431" s="258">
        <v>88307</v>
      </c>
      <c r="X431" s="256">
        <v>3499</v>
      </c>
      <c r="Y431" s="256">
        <v>24166</v>
      </c>
      <c r="Z431" s="257">
        <v>61295</v>
      </c>
      <c r="AA431" s="263">
        <v>5046</v>
      </c>
      <c r="AB431" s="273">
        <v>86304.434867095246</v>
      </c>
    </row>
    <row r="432" spans="1:28" ht="13.5" customHeight="1">
      <c r="A432" s="18">
        <v>12</v>
      </c>
      <c r="B432" s="19" t="s">
        <v>17</v>
      </c>
      <c r="C432" s="247">
        <v>1688</v>
      </c>
      <c r="D432" s="248">
        <v>85</v>
      </c>
      <c r="E432" s="248">
        <v>44</v>
      </c>
      <c r="F432" s="248">
        <v>86</v>
      </c>
      <c r="G432" s="248">
        <v>144</v>
      </c>
      <c r="H432" s="248">
        <v>491</v>
      </c>
      <c r="I432" s="248">
        <v>3658</v>
      </c>
      <c r="J432" s="248">
        <v>467</v>
      </c>
      <c r="K432" s="248">
        <v>155</v>
      </c>
      <c r="L432" s="248">
        <v>1571</v>
      </c>
      <c r="M432" s="248">
        <v>0</v>
      </c>
      <c r="N432" s="248">
        <v>154</v>
      </c>
      <c r="O432" s="248">
        <v>1107</v>
      </c>
      <c r="P432" s="248">
        <v>150</v>
      </c>
      <c r="Q432" s="248">
        <v>1399</v>
      </c>
      <c r="R432" s="248">
        <v>854</v>
      </c>
      <c r="S432" s="248">
        <v>813</v>
      </c>
      <c r="T432" s="248">
        <v>598</v>
      </c>
      <c r="U432" s="248">
        <v>13464</v>
      </c>
      <c r="V432" s="249">
        <v>-99</v>
      </c>
      <c r="W432" s="250">
        <v>13365</v>
      </c>
      <c r="X432" s="248">
        <v>1817</v>
      </c>
      <c r="Y432" s="248">
        <v>3888</v>
      </c>
      <c r="Z432" s="249">
        <v>7759</v>
      </c>
      <c r="AA432" s="261">
        <v>4494</v>
      </c>
      <c r="AB432" s="271">
        <v>12807.53261903621</v>
      </c>
    </row>
    <row r="433" spans="1:28" ht="13.5" customHeight="1">
      <c r="A433" s="18">
        <v>13</v>
      </c>
      <c r="B433" s="19" t="s">
        <v>18</v>
      </c>
      <c r="C433" s="251">
        <v>1345</v>
      </c>
      <c r="D433" s="252">
        <v>9</v>
      </c>
      <c r="E433" s="252">
        <v>245</v>
      </c>
      <c r="F433" s="252">
        <v>0</v>
      </c>
      <c r="G433" s="252">
        <v>131</v>
      </c>
      <c r="H433" s="252">
        <v>270</v>
      </c>
      <c r="I433" s="252">
        <v>1877</v>
      </c>
      <c r="J433" s="252">
        <v>186</v>
      </c>
      <c r="K433" s="252">
        <v>585</v>
      </c>
      <c r="L433" s="252">
        <v>96</v>
      </c>
      <c r="M433" s="252">
        <v>0</v>
      </c>
      <c r="N433" s="252">
        <v>3</v>
      </c>
      <c r="O433" s="252">
        <v>767</v>
      </c>
      <c r="P433" s="252">
        <v>195</v>
      </c>
      <c r="Q433" s="252">
        <v>834</v>
      </c>
      <c r="R433" s="252">
        <v>613</v>
      </c>
      <c r="S433" s="252">
        <v>792</v>
      </c>
      <c r="T433" s="252">
        <v>326</v>
      </c>
      <c r="U433" s="252">
        <v>8274</v>
      </c>
      <c r="V433" s="253">
        <v>-61</v>
      </c>
      <c r="W433" s="254">
        <v>8213</v>
      </c>
      <c r="X433" s="252">
        <v>1599</v>
      </c>
      <c r="Y433" s="252">
        <v>2008</v>
      </c>
      <c r="Z433" s="253">
        <v>4667</v>
      </c>
      <c r="AA433" s="262">
        <v>4451</v>
      </c>
      <c r="AB433" s="272">
        <v>7866.227197669984</v>
      </c>
    </row>
    <row r="434" spans="1:28" ht="13.5" customHeight="1">
      <c r="A434" s="18">
        <v>14</v>
      </c>
      <c r="B434" s="19" t="s">
        <v>19</v>
      </c>
      <c r="C434" s="251">
        <v>772</v>
      </c>
      <c r="D434" s="252">
        <v>7</v>
      </c>
      <c r="E434" s="252">
        <v>24</v>
      </c>
      <c r="F434" s="252">
        <v>0</v>
      </c>
      <c r="G434" s="252">
        <v>284</v>
      </c>
      <c r="H434" s="252">
        <v>48</v>
      </c>
      <c r="I434" s="252">
        <v>682</v>
      </c>
      <c r="J434" s="252">
        <v>104</v>
      </c>
      <c r="K434" s="252">
        <v>66</v>
      </c>
      <c r="L434" s="252">
        <v>229</v>
      </c>
      <c r="M434" s="252">
        <v>0</v>
      </c>
      <c r="N434" s="252">
        <v>3</v>
      </c>
      <c r="O434" s="252">
        <v>344</v>
      </c>
      <c r="P434" s="252">
        <v>1240</v>
      </c>
      <c r="Q434" s="252">
        <v>790</v>
      </c>
      <c r="R434" s="252">
        <v>456</v>
      </c>
      <c r="S434" s="252">
        <v>341</v>
      </c>
      <c r="T434" s="252">
        <v>240</v>
      </c>
      <c r="U434" s="252">
        <v>5630</v>
      </c>
      <c r="V434" s="253">
        <v>-42</v>
      </c>
      <c r="W434" s="254">
        <v>5588</v>
      </c>
      <c r="X434" s="252">
        <v>803</v>
      </c>
      <c r="Y434" s="252">
        <v>966</v>
      </c>
      <c r="Z434" s="253">
        <v>3861</v>
      </c>
      <c r="AA434" s="262">
        <v>4463</v>
      </c>
      <c r="AB434" s="272">
        <v>5395.0759521508971</v>
      </c>
    </row>
    <row r="435" spans="1:28" ht="13.5" customHeight="1">
      <c r="A435" s="18">
        <v>15</v>
      </c>
      <c r="B435" s="19" t="s">
        <v>20</v>
      </c>
      <c r="C435" s="251">
        <v>1652</v>
      </c>
      <c r="D435" s="252">
        <v>4</v>
      </c>
      <c r="E435" s="252">
        <v>102</v>
      </c>
      <c r="F435" s="252">
        <v>23</v>
      </c>
      <c r="G435" s="252">
        <v>1137</v>
      </c>
      <c r="H435" s="252">
        <v>698</v>
      </c>
      <c r="I435" s="252">
        <v>3724</v>
      </c>
      <c r="J435" s="252">
        <v>597</v>
      </c>
      <c r="K435" s="252">
        <v>452</v>
      </c>
      <c r="L435" s="252">
        <v>1159</v>
      </c>
      <c r="M435" s="252">
        <v>4</v>
      </c>
      <c r="N435" s="252">
        <v>127</v>
      </c>
      <c r="O435" s="252">
        <v>2168</v>
      </c>
      <c r="P435" s="252">
        <v>964</v>
      </c>
      <c r="Q435" s="252">
        <v>1193</v>
      </c>
      <c r="R435" s="252">
        <v>1315</v>
      </c>
      <c r="S435" s="252">
        <v>2178</v>
      </c>
      <c r="T435" s="252">
        <v>1446</v>
      </c>
      <c r="U435" s="252">
        <v>18943</v>
      </c>
      <c r="V435" s="253">
        <v>-139</v>
      </c>
      <c r="W435" s="254">
        <v>18804</v>
      </c>
      <c r="X435" s="252">
        <v>1758</v>
      </c>
      <c r="Y435" s="252">
        <v>4884</v>
      </c>
      <c r="Z435" s="253">
        <v>12301</v>
      </c>
      <c r="AA435" s="262">
        <v>3957</v>
      </c>
      <c r="AB435" s="272">
        <v>18173.903538802781</v>
      </c>
    </row>
    <row r="436" spans="1:28" ht="13.5" customHeight="1">
      <c r="A436" s="18">
        <v>16</v>
      </c>
      <c r="B436" s="19" t="s">
        <v>21</v>
      </c>
      <c r="C436" s="251">
        <v>1144</v>
      </c>
      <c r="D436" s="252">
        <v>2</v>
      </c>
      <c r="E436" s="252">
        <v>312</v>
      </c>
      <c r="F436" s="252">
        <v>1233</v>
      </c>
      <c r="G436" s="252">
        <v>2185</v>
      </c>
      <c r="H436" s="252">
        <v>1416</v>
      </c>
      <c r="I436" s="252">
        <v>10613</v>
      </c>
      <c r="J436" s="252">
        <v>1723</v>
      </c>
      <c r="K436" s="252">
        <v>2038</v>
      </c>
      <c r="L436" s="252">
        <v>3878</v>
      </c>
      <c r="M436" s="252">
        <v>0</v>
      </c>
      <c r="N436" s="252">
        <v>559</v>
      </c>
      <c r="O436" s="252">
        <v>3853</v>
      </c>
      <c r="P436" s="252">
        <v>2249</v>
      </c>
      <c r="Q436" s="252">
        <v>2207</v>
      </c>
      <c r="R436" s="252">
        <v>2091</v>
      </c>
      <c r="S436" s="252">
        <v>4587</v>
      </c>
      <c r="T436" s="252">
        <v>5420</v>
      </c>
      <c r="U436" s="252">
        <v>45510</v>
      </c>
      <c r="V436" s="253">
        <v>-334</v>
      </c>
      <c r="W436" s="254">
        <v>45176</v>
      </c>
      <c r="X436" s="252">
        <v>1458</v>
      </c>
      <c r="Y436" s="252">
        <v>14031</v>
      </c>
      <c r="Z436" s="253">
        <v>30021</v>
      </c>
      <c r="AA436" s="262">
        <v>5056</v>
      </c>
      <c r="AB436" s="272">
        <v>43657.621517017833</v>
      </c>
    </row>
    <row r="437" spans="1:28" ht="13.5" customHeight="1">
      <c r="A437" s="18">
        <v>17</v>
      </c>
      <c r="B437" s="19" t="s">
        <v>22</v>
      </c>
      <c r="C437" s="251">
        <v>628</v>
      </c>
      <c r="D437" s="252">
        <v>17</v>
      </c>
      <c r="E437" s="252">
        <v>378</v>
      </c>
      <c r="F437" s="252">
        <v>132</v>
      </c>
      <c r="G437" s="252">
        <v>396</v>
      </c>
      <c r="H437" s="252">
        <v>771</v>
      </c>
      <c r="I437" s="252">
        <v>18185</v>
      </c>
      <c r="J437" s="252">
        <v>1534</v>
      </c>
      <c r="K437" s="252">
        <v>1204</v>
      </c>
      <c r="L437" s="252">
        <v>12371</v>
      </c>
      <c r="M437" s="252">
        <v>105</v>
      </c>
      <c r="N437" s="252">
        <v>185</v>
      </c>
      <c r="O437" s="252">
        <v>5010</v>
      </c>
      <c r="P437" s="252">
        <v>1277</v>
      </c>
      <c r="Q437" s="252">
        <v>3747</v>
      </c>
      <c r="R437" s="252">
        <v>9311</v>
      </c>
      <c r="S437" s="252">
        <v>1686</v>
      </c>
      <c r="T437" s="252">
        <v>3826</v>
      </c>
      <c r="U437" s="252">
        <v>60763</v>
      </c>
      <c r="V437" s="253">
        <v>-446</v>
      </c>
      <c r="W437" s="254">
        <v>60317</v>
      </c>
      <c r="X437" s="252">
        <v>1023</v>
      </c>
      <c r="Y437" s="252">
        <v>18713</v>
      </c>
      <c r="Z437" s="253">
        <v>41027</v>
      </c>
      <c r="AA437" s="262">
        <v>5740</v>
      </c>
      <c r="AB437" s="272">
        <v>57843.687651455177</v>
      </c>
    </row>
    <row r="438" spans="1:28" ht="13.5" customHeight="1">
      <c r="A438" s="18">
        <v>18</v>
      </c>
      <c r="B438" s="19" t="s">
        <v>23</v>
      </c>
      <c r="C438" s="251">
        <v>644</v>
      </c>
      <c r="D438" s="252">
        <v>8</v>
      </c>
      <c r="E438" s="252">
        <v>177</v>
      </c>
      <c r="F438" s="252">
        <v>6</v>
      </c>
      <c r="G438" s="252">
        <v>236</v>
      </c>
      <c r="H438" s="252">
        <v>668</v>
      </c>
      <c r="I438" s="252">
        <v>4194</v>
      </c>
      <c r="J438" s="252">
        <v>456</v>
      </c>
      <c r="K438" s="252">
        <v>1852</v>
      </c>
      <c r="L438" s="252">
        <v>229</v>
      </c>
      <c r="M438" s="252">
        <v>834</v>
      </c>
      <c r="N438" s="252">
        <v>28</v>
      </c>
      <c r="O438" s="252">
        <v>1611</v>
      </c>
      <c r="P438" s="252">
        <v>1100</v>
      </c>
      <c r="Q438" s="252">
        <v>1541</v>
      </c>
      <c r="R438" s="252">
        <v>1189</v>
      </c>
      <c r="S438" s="252">
        <v>2063</v>
      </c>
      <c r="T438" s="252">
        <v>1043</v>
      </c>
      <c r="U438" s="252">
        <v>17879</v>
      </c>
      <c r="V438" s="253">
        <v>-132</v>
      </c>
      <c r="W438" s="254">
        <v>17747</v>
      </c>
      <c r="X438" s="252">
        <v>829</v>
      </c>
      <c r="Y438" s="252">
        <v>4436</v>
      </c>
      <c r="Z438" s="253">
        <v>12614</v>
      </c>
      <c r="AA438" s="262">
        <v>5595</v>
      </c>
      <c r="AB438" s="272">
        <v>17242.324299535194</v>
      </c>
    </row>
    <row r="439" spans="1:28" ht="13.5" customHeight="1">
      <c r="A439" s="18">
        <v>19</v>
      </c>
      <c r="B439" s="19" t="s">
        <v>24</v>
      </c>
      <c r="C439" s="251">
        <v>709</v>
      </c>
      <c r="D439" s="252">
        <v>0</v>
      </c>
      <c r="E439" s="252">
        <v>82</v>
      </c>
      <c r="F439" s="252">
        <v>75</v>
      </c>
      <c r="G439" s="252">
        <v>681</v>
      </c>
      <c r="H439" s="252">
        <v>10578</v>
      </c>
      <c r="I439" s="252">
        <v>3719</v>
      </c>
      <c r="J439" s="252">
        <v>1094</v>
      </c>
      <c r="K439" s="252">
        <v>2658</v>
      </c>
      <c r="L439" s="252">
        <v>894</v>
      </c>
      <c r="M439" s="252">
        <v>401</v>
      </c>
      <c r="N439" s="252">
        <v>332</v>
      </c>
      <c r="O439" s="252">
        <v>3581</v>
      </c>
      <c r="P439" s="252">
        <v>554</v>
      </c>
      <c r="Q439" s="252">
        <v>2022</v>
      </c>
      <c r="R439" s="252">
        <v>1759</v>
      </c>
      <c r="S439" s="252">
        <v>5603</v>
      </c>
      <c r="T439" s="252">
        <v>1421</v>
      </c>
      <c r="U439" s="252">
        <v>36163</v>
      </c>
      <c r="V439" s="253">
        <v>-266</v>
      </c>
      <c r="W439" s="254">
        <v>35897</v>
      </c>
      <c r="X439" s="252">
        <v>791</v>
      </c>
      <c r="Y439" s="252">
        <v>4475</v>
      </c>
      <c r="Z439" s="253">
        <v>30897</v>
      </c>
      <c r="AA439" s="262">
        <v>6023</v>
      </c>
      <c r="AB439" s="272">
        <v>35358.712892086383</v>
      </c>
    </row>
    <row r="440" spans="1:28" ht="13.5" customHeight="1">
      <c r="A440" s="20">
        <v>20</v>
      </c>
      <c r="B440" s="21" t="s">
        <v>25</v>
      </c>
      <c r="C440" s="255">
        <v>2001</v>
      </c>
      <c r="D440" s="256">
        <v>2</v>
      </c>
      <c r="E440" s="256">
        <v>103</v>
      </c>
      <c r="F440" s="256">
        <v>46</v>
      </c>
      <c r="G440" s="256">
        <v>491</v>
      </c>
      <c r="H440" s="256">
        <v>375</v>
      </c>
      <c r="I440" s="256">
        <v>1910</v>
      </c>
      <c r="J440" s="256">
        <v>671</v>
      </c>
      <c r="K440" s="256">
        <v>589</v>
      </c>
      <c r="L440" s="256">
        <v>607</v>
      </c>
      <c r="M440" s="256">
        <v>31</v>
      </c>
      <c r="N440" s="256">
        <v>17</v>
      </c>
      <c r="O440" s="256">
        <v>1151</v>
      </c>
      <c r="P440" s="256">
        <v>179</v>
      </c>
      <c r="Q440" s="256">
        <v>1355</v>
      </c>
      <c r="R440" s="256">
        <v>563</v>
      </c>
      <c r="S440" s="256">
        <v>997</v>
      </c>
      <c r="T440" s="256">
        <v>752</v>
      </c>
      <c r="U440" s="256">
        <v>11840</v>
      </c>
      <c r="V440" s="257">
        <v>-87</v>
      </c>
      <c r="W440" s="258">
        <v>11753</v>
      </c>
      <c r="X440" s="256">
        <v>2106</v>
      </c>
      <c r="Y440" s="256">
        <v>2447</v>
      </c>
      <c r="Z440" s="257">
        <v>7287</v>
      </c>
      <c r="AA440" s="263">
        <v>3955</v>
      </c>
      <c r="AB440" s="273">
        <v>11309.4206253909</v>
      </c>
    </row>
    <row r="441" spans="1:28" ht="13.5" customHeight="1">
      <c r="A441" s="18">
        <v>21</v>
      </c>
      <c r="B441" s="19" t="s">
        <v>26</v>
      </c>
      <c r="C441" s="247">
        <v>955</v>
      </c>
      <c r="D441" s="248">
        <v>1</v>
      </c>
      <c r="E441" s="248">
        <v>121</v>
      </c>
      <c r="F441" s="248">
        <v>196</v>
      </c>
      <c r="G441" s="248">
        <v>6114</v>
      </c>
      <c r="H441" s="248">
        <v>2500</v>
      </c>
      <c r="I441" s="248">
        <v>10106</v>
      </c>
      <c r="J441" s="248">
        <v>3694</v>
      </c>
      <c r="K441" s="248">
        <v>852</v>
      </c>
      <c r="L441" s="248">
        <v>3592</v>
      </c>
      <c r="M441" s="248">
        <v>65</v>
      </c>
      <c r="N441" s="248">
        <v>799</v>
      </c>
      <c r="O441" s="248">
        <v>14830</v>
      </c>
      <c r="P441" s="248">
        <v>2059</v>
      </c>
      <c r="Q441" s="248">
        <v>3311</v>
      </c>
      <c r="R441" s="248">
        <v>3870</v>
      </c>
      <c r="S441" s="248">
        <v>5699</v>
      </c>
      <c r="T441" s="248">
        <v>5593</v>
      </c>
      <c r="U441" s="248">
        <v>64357</v>
      </c>
      <c r="V441" s="249">
        <v>-472</v>
      </c>
      <c r="W441" s="250">
        <v>63885</v>
      </c>
      <c r="X441" s="248">
        <v>1077</v>
      </c>
      <c r="Y441" s="248">
        <v>16416</v>
      </c>
      <c r="Z441" s="249">
        <v>46864</v>
      </c>
      <c r="AA441" s="261">
        <v>4713</v>
      </c>
      <c r="AB441" s="271">
        <v>62608.600712369443</v>
      </c>
    </row>
    <row r="442" spans="1:28" ht="13.5" customHeight="1">
      <c r="A442" s="18">
        <v>22</v>
      </c>
      <c r="B442" s="19" t="s">
        <v>27</v>
      </c>
      <c r="C442" s="251">
        <v>35</v>
      </c>
      <c r="D442" s="252">
        <v>0</v>
      </c>
      <c r="E442" s="252">
        <v>8</v>
      </c>
      <c r="F442" s="252">
        <v>0</v>
      </c>
      <c r="G442" s="252">
        <v>907</v>
      </c>
      <c r="H442" s="252">
        <v>908</v>
      </c>
      <c r="I442" s="252">
        <v>4936</v>
      </c>
      <c r="J442" s="252">
        <v>1671</v>
      </c>
      <c r="K442" s="252">
        <v>411</v>
      </c>
      <c r="L442" s="252">
        <v>901</v>
      </c>
      <c r="M442" s="252">
        <v>688</v>
      </c>
      <c r="N442" s="252">
        <v>1571</v>
      </c>
      <c r="O442" s="252">
        <v>4166</v>
      </c>
      <c r="P442" s="252">
        <v>2889</v>
      </c>
      <c r="Q442" s="252">
        <v>12169</v>
      </c>
      <c r="R442" s="252">
        <v>1896</v>
      </c>
      <c r="S442" s="252">
        <v>4247</v>
      </c>
      <c r="T442" s="252">
        <v>1993</v>
      </c>
      <c r="U442" s="252">
        <v>39396</v>
      </c>
      <c r="V442" s="253">
        <v>-290</v>
      </c>
      <c r="W442" s="254">
        <v>39106</v>
      </c>
      <c r="X442" s="252">
        <v>43</v>
      </c>
      <c r="Y442" s="252">
        <v>5843</v>
      </c>
      <c r="Z442" s="253">
        <v>33510</v>
      </c>
      <c r="AA442" s="262">
        <v>4989</v>
      </c>
      <c r="AB442" s="272">
        <v>38213.194045198965</v>
      </c>
    </row>
    <row r="443" spans="1:28" ht="13.5" customHeight="1">
      <c r="A443" s="18">
        <v>23</v>
      </c>
      <c r="B443" s="19" t="s">
        <v>28</v>
      </c>
      <c r="C443" s="251">
        <v>1</v>
      </c>
      <c r="D443" s="252">
        <v>4</v>
      </c>
      <c r="E443" s="252">
        <v>67</v>
      </c>
      <c r="F443" s="252">
        <v>6</v>
      </c>
      <c r="G443" s="252">
        <v>514</v>
      </c>
      <c r="H443" s="252">
        <v>6352</v>
      </c>
      <c r="I443" s="252">
        <v>12605</v>
      </c>
      <c r="J443" s="252">
        <v>8373</v>
      </c>
      <c r="K443" s="252">
        <v>796</v>
      </c>
      <c r="L443" s="252">
        <v>8436</v>
      </c>
      <c r="M443" s="252">
        <v>6264</v>
      </c>
      <c r="N443" s="252">
        <v>2756</v>
      </c>
      <c r="O443" s="252">
        <v>15682</v>
      </c>
      <c r="P443" s="252">
        <v>7170</v>
      </c>
      <c r="Q443" s="252">
        <v>2934</v>
      </c>
      <c r="R443" s="252">
        <v>3164</v>
      </c>
      <c r="S443" s="252">
        <v>6345</v>
      </c>
      <c r="T443" s="252">
        <v>6529</v>
      </c>
      <c r="U443" s="252">
        <v>87998</v>
      </c>
      <c r="V443" s="253">
        <v>-646</v>
      </c>
      <c r="W443" s="254">
        <v>87352</v>
      </c>
      <c r="X443" s="252">
        <v>72</v>
      </c>
      <c r="Y443" s="252">
        <v>13125</v>
      </c>
      <c r="Z443" s="253">
        <v>74801</v>
      </c>
      <c r="AA443" s="262">
        <v>5901</v>
      </c>
      <c r="AB443" s="272">
        <v>85570.796425477369</v>
      </c>
    </row>
    <row r="444" spans="1:28" ht="13.5" customHeight="1">
      <c r="A444" s="18">
        <v>24</v>
      </c>
      <c r="B444" s="19" t="s">
        <v>29</v>
      </c>
      <c r="C444" s="251">
        <v>48</v>
      </c>
      <c r="D444" s="252">
        <v>2</v>
      </c>
      <c r="E444" s="252">
        <v>97</v>
      </c>
      <c r="F444" s="252">
        <v>23</v>
      </c>
      <c r="G444" s="252">
        <v>312</v>
      </c>
      <c r="H444" s="252">
        <v>999</v>
      </c>
      <c r="I444" s="252">
        <v>5983</v>
      </c>
      <c r="J444" s="252">
        <v>2510</v>
      </c>
      <c r="K444" s="252">
        <v>1279</v>
      </c>
      <c r="L444" s="252">
        <v>3521</v>
      </c>
      <c r="M444" s="252">
        <v>155</v>
      </c>
      <c r="N444" s="252">
        <v>580</v>
      </c>
      <c r="O444" s="252">
        <v>6749</v>
      </c>
      <c r="P444" s="252">
        <v>1589</v>
      </c>
      <c r="Q444" s="252">
        <v>1716</v>
      </c>
      <c r="R444" s="252">
        <v>3757</v>
      </c>
      <c r="S444" s="252">
        <v>10258</v>
      </c>
      <c r="T444" s="252">
        <v>2852</v>
      </c>
      <c r="U444" s="252">
        <v>42430</v>
      </c>
      <c r="V444" s="253">
        <v>-312</v>
      </c>
      <c r="W444" s="254">
        <v>42118</v>
      </c>
      <c r="X444" s="252">
        <v>147</v>
      </c>
      <c r="Y444" s="252">
        <v>6318</v>
      </c>
      <c r="Z444" s="253">
        <v>35965</v>
      </c>
      <c r="AA444" s="262">
        <v>5106</v>
      </c>
      <c r="AB444" s="272">
        <v>41098.047121461008</v>
      </c>
    </row>
    <row r="445" spans="1:28" ht="13.5" customHeight="1">
      <c r="A445" s="18">
        <v>25</v>
      </c>
      <c r="B445" s="19" t="s">
        <v>30</v>
      </c>
      <c r="C445" s="251">
        <v>178</v>
      </c>
      <c r="D445" s="252">
        <v>0</v>
      </c>
      <c r="E445" s="252">
        <v>19</v>
      </c>
      <c r="F445" s="252">
        <v>219</v>
      </c>
      <c r="G445" s="252">
        <v>5910</v>
      </c>
      <c r="H445" s="252">
        <v>13979</v>
      </c>
      <c r="I445" s="252">
        <v>5656</v>
      </c>
      <c r="J445" s="252">
        <v>3314</v>
      </c>
      <c r="K445" s="252">
        <v>1456</v>
      </c>
      <c r="L445" s="252">
        <v>831</v>
      </c>
      <c r="M445" s="252">
        <v>912</v>
      </c>
      <c r="N445" s="252">
        <v>327</v>
      </c>
      <c r="O445" s="252">
        <v>7252</v>
      </c>
      <c r="P445" s="252">
        <v>1857</v>
      </c>
      <c r="Q445" s="252">
        <v>1698</v>
      </c>
      <c r="R445" s="252">
        <v>1685</v>
      </c>
      <c r="S445" s="252">
        <v>10231</v>
      </c>
      <c r="T445" s="252">
        <v>3744</v>
      </c>
      <c r="U445" s="252">
        <v>59268</v>
      </c>
      <c r="V445" s="253">
        <v>-435</v>
      </c>
      <c r="W445" s="254">
        <v>58833</v>
      </c>
      <c r="X445" s="252">
        <v>197</v>
      </c>
      <c r="Y445" s="252">
        <v>11785</v>
      </c>
      <c r="Z445" s="253">
        <v>47286</v>
      </c>
      <c r="AA445" s="262">
        <v>6395</v>
      </c>
      <c r="AB445" s="272">
        <v>58130.399789007526</v>
      </c>
    </row>
    <row r="446" spans="1:28" ht="13.5" customHeight="1">
      <c r="A446" s="20">
        <v>26</v>
      </c>
      <c r="B446" s="21" t="s">
        <v>31</v>
      </c>
      <c r="C446" s="255">
        <v>197</v>
      </c>
      <c r="D446" s="256">
        <v>2</v>
      </c>
      <c r="E446" s="256">
        <v>97</v>
      </c>
      <c r="F446" s="256">
        <v>46</v>
      </c>
      <c r="G446" s="256">
        <v>21044</v>
      </c>
      <c r="H446" s="256">
        <v>5611</v>
      </c>
      <c r="I446" s="256">
        <v>9193</v>
      </c>
      <c r="J446" s="256">
        <v>13736</v>
      </c>
      <c r="K446" s="256">
        <v>6621</v>
      </c>
      <c r="L446" s="256">
        <v>1849</v>
      </c>
      <c r="M446" s="256">
        <v>468</v>
      </c>
      <c r="N446" s="256">
        <v>1839</v>
      </c>
      <c r="O446" s="256">
        <v>10050</v>
      </c>
      <c r="P446" s="256">
        <v>5226</v>
      </c>
      <c r="Q446" s="256">
        <v>2604</v>
      </c>
      <c r="R446" s="256">
        <v>21187</v>
      </c>
      <c r="S446" s="256">
        <v>18335</v>
      </c>
      <c r="T446" s="256">
        <v>5120</v>
      </c>
      <c r="U446" s="256">
        <v>123225</v>
      </c>
      <c r="V446" s="257">
        <v>-905</v>
      </c>
      <c r="W446" s="258">
        <v>122320</v>
      </c>
      <c r="X446" s="256">
        <v>296</v>
      </c>
      <c r="Y446" s="256">
        <v>30283</v>
      </c>
      <c r="Z446" s="257">
        <v>92646</v>
      </c>
      <c r="AA446" s="263">
        <v>5411</v>
      </c>
      <c r="AB446" s="273">
        <v>120027.27057823815</v>
      </c>
    </row>
    <row r="447" spans="1:28" ht="13.5" customHeight="1">
      <c r="A447" s="18">
        <v>27</v>
      </c>
      <c r="B447" s="19" t="s">
        <v>32</v>
      </c>
      <c r="C447" s="247">
        <v>127</v>
      </c>
      <c r="D447" s="248">
        <v>0</v>
      </c>
      <c r="E447" s="248">
        <v>163</v>
      </c>
      <c r="F447" s="248">
        <v>23</v>
      </c>
      <c r="G447" s="248">
        <v>465</v>
      </c>
      <c r="H447" s="248">
        <v>893</v>
      </c>
      <c r="I447" s="248">
        <v>5363</v>
      </c>
      <c r="J447" s="248">
        <v>4664</v>
      </c>
      <c r="K447" s="248">
        <v>654</v>
      </c>
      <c r="L447" s="248">
        <v>1528</v>
      </c>
      <c r="M447" s="248">
        <v>138</v>
      </c>
      <c r="N447" s="248">
        <v>1188</v>
      </c>
      <c r="O447" s="248">
        <v>6472</v>
      </c>
      <c r="P447" s="248">
        <v>1255</v>
      </c>
      <c r="Q447" s="248">
        <v>3175</v>
      </c>
      <c r="R447" s="248">
        <v>4140</v>
      </c>
      <c r="S447" s="248">
        <v>6344</v>
      </c>
      <c r="T447" s="248">
        <v>2175</v>
      </c>
      <c r="U447" s="248">
        <v>38767</v>
      </c>
      <c r="V447" s="249">
        <v>-284</v>
      </c>
      <c r="W447" s="250">
        <v>38483</v>
      </c>
      <c r="X447" s="248">
        <v>290</v>
      </c>
      <c r="Y447" s="248">
        <v>5851</v>
      </c>
      <c r="Z447" s="249">
        <v>32626</v>
      </c>
      <c r="AA447" s="261">
        <v>5183</v>
      </c>
      <c r="AB447" s="271">
        <v>37666.824475600006</v>
      </c>
    </row>
    <row r="448" spans="1:28" ht="13.5" customHeight="1">
      <c r="A448" s="18">
        <v>28</v>
      </c>
      <c r="B448" s="19" t="s">
        <v>33</v>
      </c>
      <c r="C448" s="251">
        <v>819</v>
      </c>
      <c r="D448" s="252">
        <v>8</v>
      </c>
      <c r="E448" s="252">
        <v>0</v>
      </c>
      <c r="F448" s="252">
        <v>75</v>
      </c>
      <c r="G448" s="252">
        <v>3528</v>
      </c>
      <c r="H448" s="252">
        <v>3265</v>
      </c>
      <c r="I448" s="252">
        <v>12205</v>
      </c>
      <c r="J448" s="252">
        <v>12626</v>
      </c>
      <c r="K448" s="252">
        <v>3341</v>
      </c>
      <c r="L448" s="252">
        <v>3117</v>
      </c>
      <c r="M448" s="252">
        <v>457</v>
      </c>
      <c r="N448" s="252">
        <v>1844</v>
      </c>
      <c r="O448" s="252">
        <v>12931</v>
      </c>
      <c r="P448" s="252">
        <v>4369</v>
      </c>
      <c r="Q448" s="252">
        <v>2929</v>
      </c>
      <c r="R448" s="252">
        <v>5675</v>
      </c>
      <c r="S448" s="252">
        <v>25589</v>
      </c>
      <c r="T448" s="252">
        <v>6298</v>
      </c>
      <c r="U448" s="252">
        <v>99076</v>
      </c>
      <c r="V448" s="253">
        <v>-727</v>
      </c>
      <c r="W448" s="254">
        <v>98349</v>
      </c>
      <c r="X448" s="252">
        <v>827</v>
      </c>
      <c r="Y448" s="252">
        <v>15808</v>
      </c>
      <c r="Z448" s="253">
        <v>82441</v>
      </c>
      <c r="AA448" s="262">
        <v>4978</v>
      </c>
      <c r="AB448" s="272">
        <v>96281.498780833324</v>
      </c>
    </row>
    <row r="449" spans="1:28" ht="13.5" customHeight="1">
      <c r="A449" s="18">
        <v>29</v>
      </c>
      <c r="B449" s="19" t="s">
        <v>34</v>
      </c>
      <c r="C449" s="251">
        <v>1</v>
      </c>
      <c r="D449" s="252">
        <v>3</v>
      </c>
      <c r="E449" s="252">
        <v>30</v>
      </c>
      <c r="F449" s="252">
        <v>0</v>
      </c>
      <c r="G449" s="252">
        <v>12</v>
      </c>
      <c r="H449" s="252">
        <v>128</v>
      </c>
      <c r="I449" s="252">
        <v>274</v>
      </c>
      <c r="J449" s="252">
        <v>28</v>
      </c>
      <c r="K449" s="252">
        <v>153</v>
      </c>
      <c r="L449" s="252">
        <v>417</v>
      </c>
      <c r="M449" s="252">
        <v>4</v>
      </c>
      <c r="N449" s="252">
        <v>5</v>
      </c>
      <c r="O449" s="252">
        <v>102</v>
      </c>
      <c r="P449" s="252">
        <v>100</v>
      </c>
      <c r="Q449" s="252">
        <v>464</v>
      </c>
      <c r="R449" s="252">
        <v>314</v>
      </c>
      <c r="S449" s="252">
        <v>179</v>
      </c>
      <c r="T449" s="252">
        <v>551</v>
      </c>
      <c r="U449" s="252">
        <v>2765</v>
      </c>
      <c r="V449" s="253">
        <v>-20</v>
      </c>
      <c r="W449" s="254">
        <v>2745</v>
      </c>
      <c r="X449" s="252">
        <v>34</v>
      </c>
      <c r="Y449" s="252">
        <v>286</v>
      </c>
      <c r="Z449" s="253">
        <v>2445</v>
      </c>
      <c r="AA449" s="262">
        <v>4645</v>
      </c>
      <c r="AB449" s="272">
        <v>2649.2267820232241</v>
      </c>
    </row>
    <row r="450" spans="1:28" ht="13.5" customHeight="1">
      <c r="A450" s="18">
        <v>30</v>
      </c>
      <c r="B450" s="19" t="s">
        <v>35</v>
      </c>
      <c r="C450" s="251">
        <v>2</v>
      </c>
      <c r="D450" s="252">
        <v>0</v>
      </c>
      <c r="E450" s="252">
        <v>33</v>
      </c>
      <c r="F450" s="252">
        <v>0</v>
      </c>
      <c r="G450" s="252">
        <v>58</v>
      </c>
      <c r="H450" s="252">
        <v>238</v>
      </c>
      <c r="I450" s="252">
        <v>916</v>
      </c>
      <c r="J450" s="252">
        <v>97</v>
      </c>
      <c r="K450" s="252">
        <v>216</v>
      </c>
      <c r="L450" s="252">
        <v>774</v>
      </c>
      <c r="M450" s="252">
        <v>0</v>
      </c>
      <c r="N450" s="252">
        <v>7</v>
      </c>
      <c r="O450" s="252">
        <v>182</v>
      </c>
      <c r="P450" s="252">
        <v>180</v>
      </c>
      <c r="Q450" s="252">
        <v>409</v>
      </c>
      <c r="R450" s="252">
        <v>491</v>
      </c>
      <c r="S450" s="252">
        <v>223</v>
      </c>
      <c r="T450" s="252">
        <v>803</v>
      </c>
      <c r="U450" s="252">
        <v>4629</v>
      </c>
      <c r="V450" s="253">
        <v>-34</v>
      </c>
      <c r="W450" s="254">
        <v>4595</v>
      </c>
      <c r="X450" s="252">
        <v>35</v>
      </c>
      <c r="Y450" s="252">
        <v>974</v>
      </c>
      <c r="Z450" s="253">
        <v>3620</v>
      </c>
      <c r="AA450" s="262">
        <v>5861</v>
      </c>
      <c r="AB450" s="272">
        <v>4413.5544803483745</v>
      </c>
    </row>
    <row r="451" spans="1:28" ht="13.5" customHeight="1">
      <c r="A451" s="18">
        <v>31</v>
      </c>
      <c r="B451" s="19" t="s">
        <v>36</v>
      </c>
      <c r="C451" s="251">
        <v>64</v>
      </c>
      <c r="D451" s="252">
        <v>0</v>
      </c>
      <c r="E451" s="252">
        <v>10</v>
      </c>
      <c r="F451" s="252">
        <v>6</v>
      </c>
      <c r="G451" s="252">
        <v>155</v>
      </c>
      <c r="H451" s="252">
        <v>106</v>
      </c>
      <c r="I451" s="252">
        <v>667</v>
      </c>
      <c r="J451" s="252">
        <v>26</v>
      </c>
      <c r="K451" s="252">
        <v>130</v>
      </c>
      <c r="L451" s="252">
        <v>98</v>
      </c>
      <c r="M451" s="252">
        <v>0</v>
      </c>
      <c r="N451" s="252">
        <v>3</v>
      </c>
      <c r="O451" s="252">
        <v>216</v>
      </c>
      <c r="P451" s="252">
        <v>0</v>
      </c>
      <c r="Q451" s="252">
        <v>450</v>
      </c>
      <c r="R451" s="252">
        <v>242</v>
      </c>
      <c r="S451" s="252">
        <v>403</v>
      </c>
      <c r="T451" s="252">
        <v>85</v>
      </c>
      <c r="U451" s="252">
        <v>2661</v>
      </c>
      <c r="V451" s="253">
        <v>-19</v>
      </c>
      <c r="W451" s="254">
        <v>2642</v>
      </c>
      <c r="X451" s="252">
        <v>74</v>
      </c>
      <c r="Y451" s="252">
        <v>828</v>
      </c>
      <c r="Z451" s="253">
        <v>1759</v>
      </c>
      <c r="AA451" s="262">
        <v>5807</v>
      </c>
      <c r="AB451" s="272">
        <v>2569.6115289476361</v>
      </c>
    </row>
    <row r="452" spans="1:28" ht="13.5" customHeight="1">
      <c r="A452" s="18">
        <v>32</v>
      </c>
      <c r="B452" s="19" t="s">
        <v>37</v>
      </c>
      <c r="C452" s="251">
        <v>1</v>
      </c>
      <c r="D452" s="252">
        <v>0</v>
      </c>
      <c r="E452" s="252">
        <v>81</v>
      </c>
      <c r="F452" s="252">
        <v>0</v>
      </c>
      <c r="G452" s="252">
        <v>0</v>
      </c>
      <c r="H452" s="252">
        <v>19</v>
      </c>
      <c r="I452" s="252">
        <v>528</v>
      </c>
      <c r="J452" s="252">
        <v>16</v>
      </c>
      <c r="K452" s="252">
        <v>33</v>
      </c>
      <c r="L452" s="252">
        <v>45</v>
      </c>
      <c r="M452" s="252">
        <v>0</v>
      </c>
      <c r="N452" s="252">
        <v>11</v>
      </c>
      <c r="O452" s="252">
        <v>56</v>
      </c>
      <c r="P452" s="252">
        <v>0</v>
      </c>
      <c r="Q452" s="252">
        <v>284</v>
      </c>
      <c r="R452" s="252">
        <v>178</v>
      </c>
      <c r="S452" s="252">
        <v>134</v>
      </c>
      <c r="T452" s="252">
        <v>17</v>
      </c>
      <c r="U452" s="252">
        <v>1403</v>
      </c>
      <c r="V452" s="253">
        <v>-10</v>
      </c>
      <c r="W452" s="254">
        <v>1393</v>
      </c>
      <c r="X452" s="252">
        <v>82</v>
      </c>
      <c r="Y452" s="252">
        <v>528</v>
      </c>
      <c r="Z452" s="253">
        <v>793</v>
      </c>
      <c r="AA452" s="262">
        <v>5047</v>
      </c>
      <c r="AB452" s="272">
        <v>1340.0069545518793</v>
      </c>
    </row>
    <row r="453" spans="1:28" ht="13.5" customHeight="1">
      <c r="A453" s="18">
        <v>33</v>
      </c>
      <c r="B453" s="19" t="s">
        <v>38</v>
      </c>
      <c r="C453" s="251">
        <v>1234</v>
      </c>
      <c r="D453" s="252">
        <v>5</v>
      </c>
      <c r="E453" s="252">
        <v>41</v>
      </c>
      <c r="F453" s="252">
        <v>115</v>
      </c>
      <c r="G453" s="252">
        <v>1948</v>
      </c>
      <c r="H453" s="252">
        <v>241</v>
      </c>
      <c r="I453" s="252">
        <v>2858</v>
      </c>
      <c r="J453" s="252">
        <v>230</v>
      </c>
      <c r="K453" s="252">
        <v>114</v>
      </c>
      <c r="L453" s="252">
        <v>173</v>
      </c>
      <c r="M453" s="252">
        <v>0</v>
      </c>
      <c r="N453" s="252">
        <v>5</v>
      </c>
      <c r="O453" s="252">
        <v>107</v>
      </c>
      <c r="P453" s="252">
        <v>65</v>
      </c>
      <c r="Q453" s="252">
        <v>818</v>
      </c>
      <c r="R453" s="252">
        <v>312</v>
      </c>
      <c r="S453" s="252">
        <v>205</v>
      </c>
      <c r="T453" s="252">
        <v>146</v>
      </c>
      <c r="U453" s="252">
        <v>8617</v>
      </c>
      <c r="V453" s="253">
        <v>-64</v>
      </c>
      <c r="W453" s="254">
        <v>8553</v>
      </c>
      <c r="X453" s="252">
        <v>1280</v>
      </c>
      <c r="Y453" s="252">
        <v>4921</v>
      </c>
      <c r="Z453" s="253">
        <v>2416</v>
      </c>
      <c r="AA453" s="262">
        <v>7503</v>
      </c>
      <c r="AB453" s="272">
        <v>8185.4937732720819</v>
      </c>
    </row>
    <row r="454" spans="1:28" ht="13.5" customHeight="1">
      <c r="A454" s="18">
        <v>34</v>
      </c>
      <c r="B454" s="19" t="s">
        <v>39</v>
      </c>
      <c r="C454" s="251">
        <v>398</v>
      </c>
      <c r="D454" s="252">
        <v>0</v>
      </c>
      <c r="E454" s="252">
        <v>14</v>
      </c>
      <c r="F454" s="252">
        <v>0</v>
      </c>
      <c r="G454" s="252">
        <v>500</v>
      </c>
      <c r="H454" s="252">
        <v>73</v>
      </c>
      <c r="I454" s="252">
        <v>1845</v>
      </c>
      <c r="J454" s="252">
        <v>58</v>
      </c>
      <c r="K454" s="252">
        <v>106</v>
      </c>
      <c r="L454" s="252">
        <v>229</v>
      </c>
      <c r="M454" s="252">
        <v>0</v>
      </c>
      <c r="N454" s="252">
        <v>8</v>
      </c>
      <c r="O454" s="252">
        <v>33</v>
      </c>
      <c r="P454" s="252">
        <v>43</v>
      </c>
      <c r="Q454" s="252">
        <v>375</v>
      </c>
      <c r="R454" s="252">
        <v>240</v>
      </c>
      <c r="S454" s="252">
        <v>154</v>
      </c>
      <c r="T454" s="252">
        <v>65</v>
      </c>
      <c r="U454" s="252">
        <v>4141</v>
      </c>
      <c r="V454" s="253">
        <v>-30</v>
      </c>
      <c r="W454" s="254">
        <v>4111</v>
      </c>
      <c r="X454" s="252">
        <v>412</v>
      </c>
      <c r="Y454" s="252">
        <v>2345</v>
      </c>
      <c r="Z454" s="253">
        <v>1384</v>
      </c>
      <c r="AA454" s="262">
        <v>7064</v>
      </c>
      <c r="AB454" s="272">
        <v>3950.641054542637</v>
      </c>
    </row>
    <row r="455" spans="1:28" ht="13.5" customHeight="1">
      <c r="A455" s="18">
        <v>35</v>
      </c>
      <c r="B455" s="19" t="s">
        <v>40</v>
      </c>
      <c r="C455" s="251">
        <v>136</v>
      </c>
      <c r="D455" s="252">
        <v>4</v>
      </c>
      <c r="E455" s="252">
        <v>116</v>
      </c>
      <c r="F455" s="252">
        <v>23</v>
      </c>
      <c r="G455" s="252">
        <v>288</v>
      </c>
      <c r="H455" s="252">
        <v>133</v>
      </c>
      <c r="I455" s="252">
        <v>2604</v>
      </c>
      <c r="J455" s="252">
        <v>216</v>
      </c>
      <c r="K455" s="252">
        <v>227</v>
      </c>
      <c r="L455" s="252">
        <v>133</v>
      </c>
      <c r="M455" s="252">
        <v>0</v>
      </c>
      <c r="N455" s="252">
        <v>17</v>
      </c>
      <c r="O455" s="252">
        <v>140</v>
      </c>
      <c r="P455" s="252">
        <v>74</v>
      </c>
      <c r="Q455" s="252">
        <v>657</v>
      </c>
      <c r="R455" s="252">
        <v>516</v>
      </c>
      <c r="S455" s="252">
        <v>303</v>
      </c>
      <c r="T455" s="252">
        <v>132</v>
      </c>
      <c r="U455" s="252">
        <v>5719</v>
      </c>
      <c r="V455" s="253">
        <v>-42</v>
      </c>
      <c r="W455" s="254">
        <v>5677</v>
      </c>
      <c r="X455" s="252">
        <v>256</v>
      </c>
      <c r="Y455" s="252">
        <v>2915</v>
      </c>
      <c r="Z455" s="253">
        <v>2548</v>
      </c>
      <c r="AA455" s="262">
        <v>6640</v>
      </c>
      <c r="AB455" s="272">
        <v>5452.6463405010791</v>
      </c>
    </row>
    <row r="456" spans="1:28" ht="13.5" customHeight="1">
      <c r="A456" s="18">
        <v>36</v>
      </c>
      <c r="B456" s="19" t="s">
        <v>41</v>
      </c>
      <c r="C456" s="251">
        <v>352</v>
      </c>
      <c r="D456" s="252">
        <v>0</v>
      </c>
      <c r="E456" s="252">
        <v>167</v>
      </c>
      <c r="F456" s="252">
        <v>0</v>
      </c>
      <c r="G456" s="252">
        <v>141</v>
      </c>
      <c r="H456" s="252">
        <v>36</v>
      </c>
      <c r="I456" s="252">
        <v>1427</v>
      </c>
      <c r="J456" s="252">
        <v>163</v>
      </c>
      <c r="K456" s="252">
        <v>393</v>
      </c>
      <c r="L456" s="252">
        <v>180</v>
      </c>
      <c r="M456" s="252">
        <v>0</v>
      </c>
      <c r="N456" s="252">
        <v>11</v>
      </c>
      <c r="O456" s="252">
        <v>248</v>
      </c>
      <c r="P456" s="252">
        <v>32</v>
      </c>
      <c r="Q456" s="252">
        <v>639</v>
      </c>
      <c r="R456" s="252">
        <v>346</v>
      </c>
      <c r="S456" s="252">
        <v>374</v>
      </c>
      <c r="T456" s="252">
        <v>129</v>
      </c>
      <c r="U456" s="252">
        <v>4638</v>
      </c>
      <c r="V456" s="253">
        <v>-34</v>
      </c>
      <c r="W456" s="254">
        <v>4604</v>
      </c>
      <c r="X456" s="252">
        <v>519</v>
      </c>
      <c r="Y456" s="252">
        <v>1568</v>
      </c>
      <c r="Z456" s="253">
        <v>2551</v>
      </c>
      <c r="AA456" s="262">
        <v>4811</v>
      </c>
      <c r="AB456" s="272">
        <v>4400.7837764368023</v>
      </c>
    </row>
    <row r="457" spans="1:28" ht="13.5" customHeight="1">
      <c r="A457" s="18">
        <v>37</v>
      </c>
      <c r="B457" s="19" t="s">
        <v>49</v>
      </c>
      <c r="C457" s="251">
        <v>1294</v>
      </c>
      <c r="D457" s="252">
        <v>0</v>
      </c>
      <c r="E457" s="252">
        <v>596</v>
      </c>
      <c r="F457" s="252">
        <v>52</v>
      </c>
      <c r="G457" s="252">
        <v>2170</v>
      </c>
      <c r="H457" s="252">
        <v>1196</v>
      </c>
      <c r="I457" s="252">
        <v>3284</v>
      </c>
      <c r="J457" s="252">
        <v>1243</v>
      </c>
      <c r="K457" s="252">
        <v>903</v>
      </c>
      <c r="L457" s="252">
        <v>1123</v>
      </c>
      <c r="M457" s="252">
        <v>0</v>
      </c>
      <c r="N457" s="252">
        <v>211</v>
      </c>
      <c r="O457" s="252">
        <v>1963</v>
      </c>
      <c r="P457" s="252">
        <v>875</v>
      </c>
      <c r="Q457" s="252">
        <v>4149</v>
      </c>
      <c r="R457" s="252">
        <v>1751</v>
      </c>
      <c r="S457" s="252">
        <v>1976</v>
      </c>
      <c r="T457" s="252">
        <v>1090</v>
      </c>
      <c r="U457" s="252">
        <v>23876</v>
      </c>
      <c r="V457" s="253">
        <v>-176</v>
      </c>
      <c r="W457" s="254">
        <v>23700</v>
      </c>
      <c r="X457" s="252">
        <v>1890</v>
      </c>
      <c r="Y457" s="252">
        <v>5506</v>
      </c>
      <c r="Z457" s="253">
        <v>16480</v>
      </c>
      <c r="AA457" s="262">
        <v>5028</v>
      </c>
      <c r="AB457" s="272">
        <v>22930.673753843064</v>
      </c>
    </row>
    <row r="458" spans="1:28" ht="13.5" customHeight="1">
      <c r="A458" s="20">
        <v>38</v>
      </c>
      <c r="B458" s="21" t="s">
        <v>50</v>
      </c>
      <c r="C458" s="255">
        <v>2720</v>
      </c>
      <c r="D458" s="256">
        <v>0</v>
      </c>
      <c r="E458" s="256">
        <v>145</v>
      </c>
      <c r="F458" s="256">
        <v>86</v>
      </c>
      <c r="G458" s="256">
        <v>2217</v>
      </c>
      <c r="H458" s="256">
        <v>1979</v>
      </c>
      <c r="I458" s="256">
        <v>5580</v>
      </c>
      <c r="J458" s="256">
        <v>3277</v>
      </c>
      <c r="K458" s="256">
        <v>1819</v>
      </c>
      <c r="L458" s="256">
        <v>977</v>
      </c>
      <c r="M458" s="256">
        <v>632</v>
      </c>
      <c r="N458" s="256">
        <v>712</v>
      </c>
      <c r="O458" s="256">
        <v>8729</v>
      </c>
      <c r="P458" s="256">
        <v>2584</v>
      </c>
      <c r="Q458" s="256">
        <v>6654</v>
      </c>
      <c r="R458" s="256">
        <v>6197</v>
      </c>
      <c r="S458" s="256">
        <v>11611</v>
      </c>
      <c r="T458" s="256">
        <v>2776</v>
      </c>
      <c r="U458" s="256">
        <v>58695</v>
      </c>
      <c r="V458" s="257">
        <v>-431</v>
      </c>
      <c r="W458" s="258">
        <v>58264</v>
      </c>
      <c r="X458" s="256">
        <v>2865</v>
      </c>
      <c r="Y458" s="256">
        <v>7883</v>
      </c>
      <c r="Z458" s="257">
        <v>47947</v>
      </c>
      <c r="AA458" s="263">
        <v>4938</v>
      </c>
      <c r="AB458" s="273">
        <v>57021.521688444191</v>
      </c>
    </row>
    <row r="459" spans="1:28" ht="13.5" customHeight="1">
      <c r="A459" s="20">
        <v>39</v>
      </c>
      <c r="B459" s="21" t="s">
        <v>42</v>
      </c>
      <c r="C459" s="243">
        <v>756</v>
      </c>
      <c r="D459" s="244">
        <v>0</v>
      </c>
      <c r="E459" s="244">
        <v>1</v>
      </c>
      <c r="F459" s="244">
        <v>0</v>
      </c>
      <c r="G459" s="244">
        <v>656</v>
      </c>
      <c r="H459" s="244">
        <v>106</v>
      </c>
      <c r="I459" s="244">
        <v>834</v>
      </c>
      <c r="J459" s="244">
        <v>117</v>
      </c>
      <c r="K459" s="244">
        <v>172</v>
      </c>
      <c r="L459" s="244">
        <v>108</v>
      </c>
      <c r="M459" s="244">
        <v>0</v>
      </c>
      <c r="N459" s="244">
        <v>9</v>
      </c>
      <c r="O459" s="244">
        <v>221</v>
      </c>
      <c r="P459" s="244">
        <v>64</v>
      </c>
      <c r="Q459" s="244">
        <v>628</v>
      </c>
      <c r="R459" s="244">
        <v>348</v>
      </c>
      <c r="S459" s="244">
        <v>171</v>
      </c>
      <c r="T459" s="244">
        <v>111</v>
      </c>
      <c r="U459" s="244">
        <v>4302</v>
      </c>
      <c r="V459" s="245">
        <v>-32</v>
      </c>
      <c r="W459" s="246">
        <v>4270</v>
      </c>
      <c r="X459" s="244">
        <v>757</v>
      </c>
      <c r="Y459" s="244">
        <v>1490</v>
      </c>
      <c r="Z459" s="245">
        <v>2055</v>
      </c>
      <c r="AA459" s="260">
        <v>5351</v>
      </c>
      <c r="AB459" s="270">
        <v>4156.6462891720112</v>
      </c>
    </row>
    <row r="460" spans="1:28" ht="13.5" customHeight="1">
      <c r="A460" s="18">
        <v>40</v>
      </c>
      <c r="B460" s="19" t="s">
        <v>43</v>
      </c>
      <c r="C460" s="247">
        <v>1273</v>
      </c>
      <c r="D460" s="248">
        <v>9</v>
      </c>
      <c r="E460" s="248">
        <v>120</v>
      </c>
      <c r="F460" s="248">
        <v>0</v>
      </c>
      <c r="G460" s="248">
        <v>764</v>
      </c>
      <c r="H460" s="248">
        <v>352</v>
      </c>
      <c r="I460" s="248">
        <v>2080</v>
      </c>
      <c r="J460" s="248">
        <v>368</v>
      </c>
      <c r="K460" s="248">
        <v>1077</v>
      </c>
      <c r="L460" s="248">
        <v>2898</v>
      </c>
      <c r="M460" s="248">
        <v>0</v>
      </c>
      <c r="N460" s="248">
        <v>21</v>
      </c>
      <c r="O460" s="248">
        <v>1022</v>
      </c>
      <c r="P460" s="248">
        <v>793</v>
      </c>
      <c r="Q460" s="248">
        <v>617</v>
      </c>
      <c r="R460" s="248">
        <v>1923</v>
      </c>
      <c r="S460" s="248">
        <v>465</v>
      </c>
      <c r="T460" s="248">
        <v>2030</v>
      </c>
      <c r="U460" s="248">
        <v>15812</v>
      </c>
      <c r="V460" s="249">
        <v>-116</v>
      </c>
      <c r="W460" s="250">
        <v>15696</v>
      </c>
      <c r="X460" s="248">
        <v>1402</v>
      </c>
      <c r="Y460" s="248">
        <v>2844</v>
      </c>
      <c r="Z460" s="249">
        <v>11566</v>
      </c>
      <c r="AA460" s="261">
        <v>4927</v>
      </c>
      <c r="AB460" s="271">
        <v>15048.840441657781</v>
      </c>
    </row>
    <row r="461" spans="1:28" ht="13.5" customHeight="1">
      <c r="A461" s="20">
        <v>41</v>
      </c>
      <c r="B461" s="21" t="s">
        <v>44</v>
      </c>
      <c r="C461" s="255">
        <v>194</v>
      </c>
      <c r="D461" s="256">
        <v>0</v>
      </c>
      <c r="E461" s="256">
        <v>54</v>
      </c>
      <c r="F461" s="256">
        <v>121</v>
      </c>
      <c r="G461" s="256">
        <v>257</v>
      </c>
      <c r="H461" s="256">
        <v>278</v>
      </c>
      <c r="I461" s="256">
        <v>3234</v>
      </c>
      <c r="J461" s="256">
        <v>178</v>
      </c>
      <c r="K461" s="256">
        <v>315</v>
      </c>
      <c r="L461" s="256">
        <v>436</v>
      </c>
      <c r="M461" s="256">
        <v>0</v>
      </c>
      <c r="N461" s="256">
        <v>11</v>
      </c>
      <c r="O461" s="256">
        <v>327</v>
      </c>
      <c r="P461" s="256">
        <v>215</v>
      </c>
      <c r="Q461" s="256">
        <v>3091</v>
      </c>
      <c r="R461" s="256">
        <v>654</v>
      </c>
      <c r="S461" s="256">
        <v>422</v>
      </c>
      <c r="T461" s="256">
        <v>226</v>
      </c>
      <c r="U461" s="256">
        <v>10013</v>
      </c>
      <c r="V461" s="257">
        <v>-73</v>
      </c>
      <c r="W461" s="258">
        <v>9940</v>
      </c>
      <c r="X461" s="256">
        <v>248</v>
      </c>
      <c r="Y461" s="256">
        <v>3612</v>
      </c>
      <c r="Z461" s="257">
        <v>6153</v>
      </c>
      <c r="AA461" s="263">
        <v>6640</v>
      </c>
      <c r="AB461" s="273">
        <v>9598.6742269114366</v>
      </c>
    </row>
    <row r="462" spans="1:28" ht="15.75" customHeight="1">
      <c r="A462" s="111" t="s">
        <v>146</v>
      </c>
      <c r="B462" s="7" t="s">
        <v>152</v>
      </c>
      <c r="C462" s="247">
        <v>13449</v>
      </c>
      <c r="D462" s="248">
        <v>214</v>
      </c>
      <c r="E462" s="248">
        <v>2146</v>
      </c>
      <c r="F462" s="248">
        <v>3358</v>
      </c>
      <c r="G462" s="248">
        <v>21744</v>
      </c>
      <c r="H462" s="248">
        <v>23162</v>
      </c>
      <c r="I462" s="248">
        <v>75309</v>
      </c>
      <c r="J462" s="248">
        <v>23166</v>
      </c>
      <c r="K462" s="248">
        <v>17000</v>
      </c>
      <c r="L462" s="248">
        <v>33558</v>
      </c>
      <c r="M462" s="248">
        <v>4295</v>
      </c>
      <c r="N462" s="248">
        <v>6122</v>
      </c>
      <c r="O462" s="248">
        <v>40837</v>
      </c>
      <c r="P462" s="248">
        <v>22753</v>
      </c>
      <c r="Q462" s="248">
        <v>30837</v>
      </c>
      <c r="R462" s="248">
        <v>33895</v>
      </c>
      <c r="S462" s="248">
        <v>52704</v>
      </c>
      <c r="T462" s="248">
        <v>24580</v>
      </c>
      <c r="U462" s="248">
        <v>429129</v>
      </c>
      <c r="V462" s="249">
        <v>-3152</v>
      </c>
      <c r="W462" s="250">
        <v>425977</v>
      </c>
      <c r="X462" s="248">
        <v>15809</v>
      </c>
      <c r="Y462" s="248">
        <v>100411</v>
      </c>
      <c r="Z462" s="249">
        <v>312909</v>
      </c>
      <c r="AA462" s="261">
        <v>5362</v>
      </c>
      <c r="AB462" s="271">
        <v>413363.55319107196</v>
      </c>
    </row>
    <row r="463" spans="1:28" ht="15.75" customHeight="1">
      <c r="A463" s="112" t="s">
        <v>147</v>
      </c>
      <c r="B463" s="17" t="s">
        <v>153</v>
      </c>
      <c r="C463" s="251">
        <v>4705</v>
      </c>
      <c r="D463" s="252">
        <v>17</v>
      </c>
      <c r="E463" s="252">
        <v>1983</v>
      </c>
      <c r="F463" s="252">
        <v>1907</v>
      </c>
      <c r="G463" s="252">
        <v>97843</v>
      </c>
      <c r="H463" s="252">
        <v>91378</v>
      </c>
      <c r="I463" s="252">
        <v>163833</v>
      </c>
      <c r="J463" s="252">
        <v>182099</v>
      </c>
      <c r="K463" s="252">
        <v>61837</v>
      </c>
      <c r="L463" s="252">
        <v>57082</v>
      </c>
      <c r="M463" s="252">
        <v>69344</v>
      </c>
      <c r="N463" s="252">
        <v>40985</v>
      </c>
      <c r="O463" s="252">
        <v>229137</v>
      </c>
      <c r="P463" s="252">
        <v>151875</v>
      </c>
      <c r="Q463" s="252">
        <v>100007</v>
      </c>
      <c r="R463" s="252">
        <v>102431</v>
      </c>
      <c r="S463" s="252">
        <v>210947</v>
      </c>
      <c r="T463" s="252">
        <v>91951</v>
      </c>
      <c r="U463" s="252">
        <v>1659361</v>
      </c>
      <c r="V463" s="253">
        <v>-12185</v>
      </c>
      <c r="W463" s="254">
        <v>1647176</v>
      </c>
      <c r="X463" s="252">
        <v>6705</v>
      </c>
      <c r="Y463" s="252">
        <v>263583</v>
      </c>
      <c r="Z463" s="253">
        <v>1389073</v>
      </c>
      <c r="AA463" s="262">
        <v>5883</v>
      </c>
      <c r="AB463" s="272">
        <v>1616590.5654723321</v>
      </c>
    </row>
    <row r="464" spans="1:28" ht="15.75" customHeight="1">
      <c r="A464" s="112" t="s">
        <v>148</v>
      </c>
      <c r="B464" s="17" t="s">
        <v>154</v>
      </c>
      <c r="C464" s="251">
        <v>14272</v>
      </c>
      <c r="D464" s="252">
        <v>23</v>
      </c>
      <c r="E464" s="252">
        <v>2527</v>
      </c>
      <c r="F464" s="252">
        <v>1509</v>
      </c>
      <c r="G464" s="252">
        <v>43141</v>
      </c>
      <c r="H464" s="252">
        <v>19252</v>
      </c>
      <c r="I464" s="252">
        <v>77089</v>
      </c>
      <c r="J464" s="252">
        <v>53702</v>
      </c>
      <c r="K464" s="252">
        <v>32061</v>
      </c>
      <c r="L464" s="252">
        <v>21531</v>
      </c>
      <c r="M464" s="252">
        <v>9881</v>
      </c>
      <c r="N464" s="252">
        <v>8890</v>
      </c>
      <c r="O464" s="252">
        <v>82605</v>
      </c>
      <c r="P464" s="252">
        <v>37205</v>
      </c>
      <c r="Q464" s="252">
        <v>44890</v>
      </c>
      <c r="R464" s="252">
        <v>41085</v>
      </c>
      <c r="S464" s="252">
        <v>106005</v>
      </c>
      <c r="T464" s="252">
        <v>34739</v>
      </c>
      <c r="U464" s="252">
        <v>630407</v>
      </c>
      <c r="V464" s="253">
        <v>-4627</v>
      </c>
      <c r="W464" s="254">
        <v>625780</v>
      </c>
      <c r="X464" s="252">
        <v>16822</v>
      </c>
      <c r="Y464" s="252">
        <v>121739</v>
      </c>
      <c r="Z464" s="253">
        <v>491846</v>
      </c>
      <c r="AA464" s="262">
        <v>5084</v>
      </c>
      <c r="AB464" s="272">
        <v>611307.9056939563</v>
      </c>
    </row>
    <row r="465" spans="1:28" ht="15.75" customHeight="1">
      <c r="A465" s="112" t="s">
        <v>149</v>
      </c>
      <c r="B465" s="17" t="s">
        <v>155</v>
      </c>
      <c r="C465" s="251">
        <v>311</v>
      </c>
      <c r="D465" s="252">
        <v>46</v>
      </c>
      <c r="E465" s="252">
        <v>2243</v>
      </c>
      <c r="F465" s="252">
        <v>559</v>
      </c>
      <c r="G465" s="252">
        <v>11400</v>
      </c>
      <c r="H465" s="252">
        <v>33247</v>
      </c>
      <c r="I465" s="252">
        <v>86858</v>
      </c>
      <c r="J465" s="252">
        <v>120071</v>
      </c>
      <c r="K465" s="252">
        <v>144921</v>
      </c>
      <c r="L465" s="252">
        <v>56152</v>
      </c>
      <c r="M465" s="252">
        <v>102080</v>
      </c>
      <c r="N465" s="252">
        <v>91241</v>
      </c>
      <c r="O465" s="252">
        <v>141894</v>
      </c>
      <c r="P465" s="252">
        <v>176920</v>
      </c>
      <c r="Q465" s="252">
        <v>210237</v>
      </c>
      <c r="R465" s="252">
        <v>40731</v>
      </c>
      <c r="S465" s="252">
        <v>121250</v>
      </c>
      <c r="T465" s="252">
        <v>57503</v>
      </c>
      <c r="U465" s="252">
        <v>1397664</v>
      </c>
      <c r="V465" s="253">
        <v>-10263</v>
      </c>
      <c r="W465" s="254">
        <v>1387401</v>
      </c>
      <c r="X465" s="252">
        <v>2600</v>
      </c>
      <c r="Y465" s="252">
        <v>98817</v>
      </c>
      <c r="Z465" s="253">
        <v>1296247</v>
      </c>
      <c r="AA465" s="262">
        <v>7119</v>
      </c>
      <c r="AB465" s="272">
        <v>1356575.9860659291</v>
      </c>
    </row>
    <row r="466" spans="1:28" ht="15.75" customHeight="1">
      <c r="A466" s="112" t="s">
        <v>150</v>
      </c>
      <c r="B466" s="17" t="s">
        <v>156</v>
      </c>
      <c r="C466" s="251">
        <v>7548</v>
      </c>
      <c r="D466" s="252">
        <v>57</v>
      </c>
      <c r="E466" s="252">
        <v>720</v>
      </c>
      <c r="F466" s="252">
        <v>363</v>
      </c>
      <c r="G466" s="252">
        <v>8573</v>
      </c>
      <c r="H466" s="252">
        <v>7153</v>
      </c>
      <c r="I466" s="252">
        <v>39247</v>
      </c>
      <c r="J466" s="252">
        <v>18930</v>
      </c>
      <c r="K466" s="252">
        <v>10758</v>
      </c>
      <c r="L466" s="252">
        <v>9641</v>
      </c>
      <c r="M466" s="252">
        <v>2181</v>
      </c>
      <c r="N466" s="252">
        <v>2606</v>
      </c>
      <c r="O466" s="252">
        <v>16450</v>
      </c>
      <c r="P466" s="252">
        <v>12418</v>
      </c>
      <c r="Q466" s="252">
        <v>23659</v>
      </c>
      <c r="R466" s="252">
        <v>10382</v>
      </c>
      <c r="S466" s="252">
        <v>20774</v>
      </c>
      <c r="T466" s="252">
        <v>7421</v>
      </c>
      <c r="U466" s="252">
        <v>198881</v>
      </c>
      <c r="V466" s="253">
        <v>-1460</v>
      </c>
      <c r="W466" s="254">
        <v>197421</v>
      </c>
      <c r="X466" s="252">
        <v>8325</v>
      </c>
      <c r="Y466" s="252">
        <v>48183</v>
      </c>
      <c r="Z466" s="253">
        <v>142373</v>
      </c>
      <c r="AA466" s="262">
        <v>6148</v>
      </c>
      <c r="AB466" s="272">
        <v>191032.0344741036</v>
      </c>
    </row>
    <row r="467" spans="1:28" ht="15.75" customHeight="1">
      <c r="A467" s="113" t="s">
        <v>151</v>
      </c>
      <c r="B467" s="105" t="s">
        <v>157</v>
      </c>
      <c r="C467" s="255">
        <v>6656</v>
      </c>
      <c r="D467" s="256">
        <v>33</v>
      </c>
      <c r="E467" s="256">
        <v>897</v>
      </c>
      <c r="F467" s="256">
        <v>432</v>
      </c>
      <c r="G467" s="256">
        <v>5597</v>
      </c>
      <c r="H467" s="256">
        <v>8162</v>
      </c>
      <c r="I467" s="256">
        <v>31202</v>
      </c>
      <c r="J467" s="256">
        <v>12720</v>
      </c>
      <c r="K467" s="256">
        <v>16553</v>
      </c>
      <c r="L467" s="256">
        <v>14876</v>
      </c>
      <c r="M467" s="256">
        <v>1762</v>
      </c>
      <c r="N467" s="256">
        <v>2787</v>
      </c>
      <c r="O467" s="256">
        <v>18160</v>
      </c>
      <c r="P467" s="256">
        <v>15646</v>
      </c>
      <c r="Q467" s="256">
        <v>24492</v>
      </c>
      <c r="R467" s="256">
        <v>11498</v>
      </c>
      <c r="S467" s="256">
        <v>14966</v>
      </c>
      <c r="T467" s="256">
        <v>10242</v>
      </c>
      <c r="U467" s="256">
        <v>196681</v>
      </c>
      <c r="V467" s="257">
        <v>-1444</v>
      </c>
      <c r="W467" s="258">
        <v>195237</v>
      </c>
      <c r="X467" s="256">
        <v>7586</v>
      </c>
      <c r="Y467" s="256">
        <v>37231</v>
      </c>
      <c r="Z467" s="257">
        <v>151864</v>
      </c>
      <c r="AA467" s="263">
        <v>6407</v>
      </c>
      <c r="AB467" s="273">
        <v>188816.75242648076</v>
      </c>
    </row>
    <row r="468" spans="1:28" ht="15.75" customHeight="1">
      <c r="A468" s="222" t="s">
        <v>293</v>
      </c>
      <c r="B468" s="25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</row>
    <row r="469" spans="1:28" ht="15.75" customHeight="1">
      <c r="A469" s="222" t="s">
        <v>292</v>
      </c>
    </row>
    <row r="470" spans="1:28" ht="13.5" customHeight="1">
      <c r="A470" s="55">
        <f>A418+1</f>
        <v>2</v>
      </c>
      <c r="B470" s="50" t="str">
        <f>IF(A470&lt;22,"令和"&amp;A470&amp;"年度","平成"&amp;A470&amp;"年度")</f>
        <v>令和2年度</v>
      </c>
      <c r="C470" s="56" t="str">
        <f>C$2</f>
        <v>経済活動別市町村内総生産（百万円）</v>
      </c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1"/>
      <c r="Y470" s="2"/>
      <c r="Z470" s="57"/>
      <c r="AA470" s="57"/>
      <c r="AB470" s="57"/>
    </row>
    <row r="471" spans="1:28" ht="45" customHeight="1">
      <c r="A471" s="186"/>
      <c r="B471" s="76"/>
      <c r="C471" s="77" t="s">
        <v>51</v>
      </c>
      <c r="D471" s="77" t="s">
        <v>52</v>
      </c>
      <c r="E471" s="77" t="s">
        <v>53</v>
      </c>
      <c r="F471" s="77" t="s">
        <v>54</v>
      </c>
      <c r="G471" s="77" t="s">
        <v>55</v>
      </c>
      <c r="H471" s="77" t="s">
        <v>56</v>
      </c>
      <c r="I471" s="77" t="s">
        <v>57</v>
      </c>
      <c r="J471" s="77" t="s">
        <v>58</v>
      </c>
      <c r="K471" s="77" t="s">
        <v>59</v>
      </c>
      <c r="L471" s="77" t="s">
        <v>60</v>
      </c>
      <c r="M471" s="77" t="s">
        <v>61</v>
      </c>
      <c r="N471" s="77" t="s">
        <v>62</v>
      </c>
      <c r="O471" s="77" t="s">
        <v>63</v>
      </c>
      <c r="P471" s="77" t="s">
        <v>64</v>
      </c>
      <c r="Q471" s="77" t="s">
        <v>65</v>
      </c>
      <c r="R471" s="77" t="s">
        <v>66</v>
      </c>
      <c r="S471" s="77" t="s">
        <v>67</v>
      </c>
      <c r="T471" s="77" t="s">
        <v>68</v>
      </c>
      <c r="U471" s="77" t="s">
        <v>70</v>
      </c>
      <c r="V471" s="78" t="s">
        <v>69</v>
      </c>
      <c r="W471" s="79" t="s">
        <v>71</v>
      </c>
      <c r="X471" s="77" t="s">
        <v>72</v>
      </c>
      <c r="Y471" s="77" t="s">
        <v>73</v>
      </c>
      <c r="Z471" s="77" t="s">
        <v>74</v>
      </c>
      <c r="AA471" s="259" t="s">
        <v>277</v>
      </c>
      <c r="AB471" s="269" t="s">
        <v>278</v>
      </c>
    </row>
    <row r="472" spans="1:28" ht="13.5" customHeight="1">
      <c r="A472" s="153" t="s">
        <v>160</v>
      </c>
      <c r="B472" s="22" t="s">
        <v>0</v>
      </c>
      <c r="C472" s="243">
        <v>37606</v>
      </c>
      <c r="D472" s="244">
        <v>419</v>
      </c>
      <c r="E472" s="244">
        <v>8629</v>
      </c>
      <c r="F472" s="244">
        <v>8679</v>
      </c>
      <c r="G472" s="244">
        <v>206713</v>
      </c>
      <c r="H472" s="244">
        <v>186219</v>
      </c>
      <c r="I472" s="244">
        <v>388347</v>
      </c>
      <c r="J472" s="244">
        <v>383657</v>
      </c>
      <c r="K472" s="244">
        <v>191628</v>
      </c>
      <c r="L472" s="244">
        <v>111771</v>
      </c>
      <c r="M472" s="244">
        <v>188723</v>
      </c>
      <c r="N472" s="244">
        <v>150210</v>
      </c>
      <c r="O472" s="244">
        <v>547265</v>
      </c>
      <c r="P472" s="244">
        <v>419516</v>
      </c>
      <c r="Q472" s="244">
        <v>418687</v>
      </c>
      <c r="R472" s="244">
        <v>246676</v>
      </c>
      <c r="S472" s="244">
        <v>528999</v>
      </c>
      <c r="T472" s="244">
        <v>206127</v>
      </c>
      <c r="U472" s="244">
        <v>4229871</v>
      </c>
      <c r="V472" s="245">
        <v>-28965</v>
      </c>
      <c r="W472" s="246">
        <v>4200906</v>
      </c>
      <c r="X472" s="244">
        <v>46654</v>
      </c>
      <c r="Y472" s="244">
        <v>603739</v>
      </c>
      <c r="Z472" s="245">
        <v>3579478</v>
      </c>
      <c r="AA472" s="260">
        <v>5733</v>
      </c>
      <c r="AB472" s="270">
        <v>4082088</v>
      </c>
    </row>
    <row r="473" spans="1:28" ht="13.5" customHeight="1">
      <c r="A473" s="16" t="s">
        <v>1</v>
      </c>
      <c r="B473" s="17" t="s">
        <v>2</v>
      </c>
      <c r="C473" s="247">
        <v>284</v>
      </c>
      <c r="D473" s="248">
        <v>52</v>
      </c>
      <c r="E473" s="248">
        <v>1636</v>
      </c>
      <c r="F473" s="248">
        <v>601</v>
      </c>
      <c r="G473" s="248">
        <v>14350</v>
      </c>
      <c r="H473" s="248">
        <v>32966</v>
      </c>
      <c r="I473" s="248">
        <v>69966</v>
      </c>
      <c r="J473" s="248">
        <v>111726</v>
      </c>
      <c r="K473" s="248">
        <v>73194</v>
      </c>
      <c r="L473" s="248">
        <v>32485</v>
      </c>
      <c r="M473" s="248">
        <v>102050</v>
      </c>
      <c r="N473" s="248">
        <v>89250</v>
      </c>
      <c r="O473" s="248">
        <v>145191</v>
      </c>
      <c r="P473" s="248">
        <v>177130</v>
      </c>
      <c r="Q473" s="248">
        <v>196788</v>
      </c>
      <c r="R473" s="248">
        <v>41938</v>
      </c>
      <c r="S473" s="248">
        <v>122286</v>
      </c>
      <c r="T473" s="248">
        <v>52728</v>
      </c>
      <c r="U473" s="248">
        <v>1264621</v>
      </c>
      <c r="V473" s="249">
        <v>-8660</v>
      </c>
      <c r="W473" s="250">
        <v>1255961</v>
      </c>
      <c r="X473" s="248">
        <v>1972</v>
      </c>
      <c r="Y473" s="248">
        <v>84917</v>
      </c>
      <c r="Z473" s="249">
        <v>1177732</v>
      </c>
      <c r="AA473" s="261">
        <v>6478</v>
      </c>
      <c r="AB473" s="271">
        <v>1226153.2117377874</v>
      </c>
    </row>
    <row r="474" spans="1:28" ht="13.5" customHeight="1">
      <c r="A474" s="18" t="s">
        <v>3</v>
      </c>
      <c r="B474" s="19" t="s">
        <v>4</v>
      </c>
      <c r="C474" s="251">
        <v>67</v>
      </c>
      <c r="D474" s="252">
        <v>0</v>
      </c>
      <c r="E474" s="252">
        <v>122</v>
      </c>
      <c r="F474" s="252">
        <v>541</v>
      </c>
      <c r="G474" s="252">
        <v>12713</v>
      </c>
      <c r="H474" s="252">
        <v>8122</v>
      </c>
      <c r="I474" s="252">
        <v>21157</v>
      </c>
      <c r="J474" s="252">
        <v>22526</v>
      </c>
      <c r="K474" s="252">
        <v>5043</v>
      </c>
      <c r="L474" s="252">
        <v>4964</v>
      </c>
      <c r="M474" s="252">
        <v>14320</v>
      </c>
      <c r="N474" s="252">
        <v>4866</v>
      </c>
      <c r="O474" s="252">
        <v>37926</v>
      </c>
      <c r="P474" s="252">
        <v>22139</v>
      </c>
      <c r="Q474" s="252">
        <v>9506</v>
      </c>
      <c r="R474" s="252">
        <v>12856</v>
      </c>
      <c r="S474" s="252">
        <v>21363</v>
      </c>
      <c r="T474" s="252">
        <v>11432</v>
      </c>
      <c r="U474" s="252">
        <v>209663</v>
      </c>
      <c r="V474" s="253">
        <v>-1436</v>
      </c>
      <c r="W474" s="254">
        <v>208227</v>
      </c>
      <c r="X474" s="252">
        <v>189</v>
      </c>
      <c r="Y474" s="252">
        <v>34411</v>
      </c>
      <c r="Z474" s="253">
        <v>175063</v>
      </c>
      <c r="AA474" s="262">
        <v>5582</v>
      </c>
      <c r="AB474" s="272">
        <v>203047.70929118709</v>
      </c>
    </row>
    <row r="475" spans="1:28" ht="13.5" customHeight="1">
      <c r="A475" s="18" t="s">
        <v>5</v>
      </c>
      <c r="B475" s="19" t="s">
        <v>6</v>
      </c>
      <c r="C475" s="251">
        <v>3987</v>
      </c>
      <c r="D475" s="252">
        <v>25</v>
      </c>
      <c r="E475" s="252">
        <v>538</v>
      </c>
      <c r="F475" s="252">
        <v>330</v>
      </c>
      <c r="G475" s="252">
        <v>3955</v>
      </c>
      <c r="H475" s="252">
        <v>7796</v>
      </c>
      <c r="I475" s="252">
        <v>20840</v>
      </c>
      <c r="J475" s="252">
        <v>11467</v>
      </c>
      <c r="K475" s="252">
        <v>9985</v>
      </c>
      <c r="L475" s="252">
        <v>5767</v>
      </c>
      <c r="M475" s="252">
        <v>1612</v>
      </c>
      <c r="N475" s="252">
        <v>2654</v>
      </c>
      <c r="O475" s="252">
        <v>17676</v>
      </c>
      <c r="P475" s="252">
        <v>14376</v>
      </c>
      <c r="Q475" s="252">
        <v>19967</v>
      </c>
      <c r="R475" s="252">
        <v>9253</v>
      </c>
      <c r="S475" s="252">
        <v>14187</v>
      </c>
      <c r="T475" s="252">
        <v>7340</v>
      </c>
      <c r="U475" s="252">
        <v>151755</v>
      </c>
      <c r="V475" s="253">
        <v>-1039</v>
      </c>
      <c r="W475" s="254">
        <v>150716</v>
      </c>
      <c r="X475" s="252">
        <v>4550</v>
      </c>
      <c r="Y475" s="252">
        <v>25125</v>
      </c>
      <c r="Z475" s="253">
        <v>122080</v>
      </c>
      <c r="AA475" s="262">
        <v>6120</v>
      </c>
      <c r="AB475" s="272">
        <v>144891.8357234814</v>
      </c>
    </row>
    <row r="476" spans="1:28" ht="13.5" customHeight="1">
      <c r="A476" s="18" t="s">
        <v>7</v>
      </c>
      <c r="B476" s="19" t="s">
        <v>8</v>
      </c>
      <c r="C476" s="251">
        <v>17</v>
      </c>
      <c r="D476" s="252">
        <v>2</v>
      </c>
      <c r="E476" s="252">
        <v>159</v>
      </c>
      <c r="F476" s="252">
        <v>150</v>
      </c>
      <c r="G476" s="252">
        <v>21064</v>
      </c>
      <c r="H476" s="252">
        <v>16828</v>
      </c>
      <c r="I476" s="252">
        <v>23176</v>
      </c>
      <c r="J476" s="252">
        <v>71382</v>
      </c>
      <c r="K476" s="252">
        <v>22845</v>
      </c>
      <c r="L476" s="252">
        <v>6351</v>
      </c>
      <c r="M476" s="252">
        <v>31359</v>
      </c>
      <c r="N476" s="252">
        <v>12144</v>
      </c>
      <c r="O476" s="252">
        <v>46034</v>
      </c>
      <c r="P476" s="252">
        <v>48945</v>
      </c>
      <c r="Q476" s="252">
        <v>14219</v>
      </c>
      <c r="R476" s="252">
        <v>18870</v>
      </c>
      <c r="S476" s="252">
        <v>42093</v>
      </c>
      <c r="T476" s="252">
        <v>16907</v>
      </c>
      <c r="U476" s="252">
        <v>392545</v>
      </c>
      <c r="V476" s="253">
        <v>-2688</v>
      </c>
      <c r="W476" s="254">
        <v>389857</v>
      </c>
      <c r="X476" s="252">
        <v>178</v>
      </c>
      <c r="Y476" s="252">
        <v>44390</v>
      </c>
      <c r="Z476" s="253">
        <v>347977</v>
      </c>
      <c r="AA476" s="262">
        <v>6443</v>
      </c>
      <c r="AB476" s="272">
        <v>380393.02280637407</v>
      </c>
    </row>
    <row r="477" spans="1:28" ht="13.5" customHeight="1">
      <c r="A477" s="16" t="s">
        <v>9</v>
      </c>
      <c r="B477" s="17" t="s">
        <v>10</v>
      </c>
      <c r="C477" s="251">
        <v>1999</v>
      </c>
      <c r="D477" s="252">
        <v>77</v>
      </c>
      <c r="E477" s="252">
        <v>386</v>
      </c>
      <c r="F477" s="252">
        <v>1894</v>
      </c>
      <c r="G477" s="252">
        <v>13532</v>
      </c>
      <c r="H477" s="252">
        <v>7774</v>
      </c>
      <c r="I477" s="252">
        <v>25449</v>
      </c>
      <c r="J477" s="252">
        <v>15073</v>
      </c>
      <c r="K477" s="252">
        <v>6639</v>
      </c>
      <c r="L477" s="252">
        <v>6550</v>
      </c>
      <c r="M477" s="252">
        <v>2926</v>
      </c>
      <c r="N477" s="252">
        <v>4528</v>
      </c>
      <c r="O477" s="252">
        <v>21746</v>
      </c>
      <c r="P477" s="252">
        <v>15371</v>
      </c>
      <c r="Q477" s="252">
        <v>14215</v>
      </c>
      <c r="R477" s="252">
        <v>15304</v>
      </c>
      <c r="S477" s="252">
        <v>32995</v>
      </c>
      <c r="T477" s="252">
        <v>8414</v>
      </c>
      <c r="U477" s="252">
        <v>194872</v>
      </c>
      <c r="V477" s="253">
        <v>-1335</v>
      </c>
      <c r="W477" s="254">
        <v>193537</v>
      </c>
      <c r="X477" s="252">
        <v>2462</v>
      </c>
      <c r="Y477" s="252">
        <v>40875</v>
      </c>
      <c r="Z477" s="253">
        <v>151535</v>
      </c>
      <c r="AA477" s="262">
        <v>5557</v>
      </c>
      <c r="AB477" s="272">
        <v>187614.20441668556</v>
      </c>
    </row>
    <row r="478" spans="1:28" ht="13.5" customHeight="1">
      <c r="A478" s="18" t="s">
        <v>11</v>
      </c>
      <c r="B478" s="19" t="s">
        <v>12</v>
      </c>
      <c r="C478" s="251">
        <v>2734</v>
      </c>
      <c r="D478" s="252">
        <v>0</v>
      </c>
      <c r="E478" s="252">
        <v>364</v>
      </c>
      <c r="F478" s="252">
        <v>1051</v>
      </c>
      <c r="G478" s="252">
        <v>20402</v>
      </c>
      <c r="H478" s="252">
        <v>3488</v>
      </c>
      <c r="I478" s="252">
        <v>14641</v>
      </c>
      <c r="J478" s="252">
        <v>10504</v>
      </c>
      <c r="K478" s="252">
        <v>8292</v>
      </c>
      <c r="L478" s="252">
        <v>3361</v>
      </c>
      <c r="M478" s="252">
        <v>810</v>
      </c>
      <c r="N478" s="252">
        <v>2111</v>
      </c>
      <c r="O478" s="252">
        <v>18990</v>
      </c>
      <c r="P478" s="252">
        <v>4603</v>
      </c>
      <c r="Q478" s="252">
        <v>8462</v>
      </c>
      <c r="R478" s="252">
        <v>10275</v>
      </c>
      <c r="S478" s="252">
        <v>19607</v>
      </c>
      <c r="T478" s="252">
        <v>7443</v>
      </c>
      <c r="U478" s="252">
        <v>137138</v>
      </c>
      <c r="V478" s="253">
        <v>-939</v>
      </c>
      <c r="W478" s="254">
        <v>136199</v>
      </c>
      <c r="X478" s="252">
        <v>3098</v>
      </c>
      <c r="Y478" s="252">
        <v>36094</v>
      </c>
      <c r="Z478" s="253">
        <v>97946</v>
      </c>
      <c r="AA478" s="262">
        <v>4659</v>
      </c>
      <c r="AB478" s="272">
        <v>131901.51456195617</v>
      </c>
    </row>
    <row r="479" spans="1:28" ht="13.5" customHeight="1">
      <c r="A479" s="18" t="s">
        <v>13</v>
      </c>
      <c r="B479" s="19" t="s">
        <v>14</v>
      </c>
      <c r="C479" s="251">
        <v>668</v>
      </c>
      <c r="D479" s="252">
        <v>5</v>
      </c>
      <c r="E479" s="252">
        <v>146</v>
      </c>
      <c r="F479" s="252">
        <v>300</v>
      </c>
      <c r="G479" s="252">
        <v>13229</v>
      </c>
      <c r="H479" s="252">
        <v>11048</v>
      </c>
      <c r="I479" s="252">
        <v>27814</v>
      </c>
      <c r="J479" s="252">
        <v>22837</v>
      </c>
      <c r="K479" s="252">
        <v>9227</v>
      </c>
      <c r="L479" s="252">
        <v>8727</v>
      </c>
      <c r="M479" s="252">
        <v>3309</v>
      </c>
      <c r="N479" s="252">
        <v>10858</v>
      </c>
      <c r="O479" s="252">
        <v>51663</v>
      </c>
      <c r="P479" s="252">
        <v>34110</v>
      </c>
      <c r="Q479" s="252">
        <v>28705</v>
      </c>
      <c r="R479" s="252">
        <v>19981</v>
      </c>
      <c r="S479" s="252">
        <v>56605</v>
      </c>
      <c r="T479" s="252">
        <v>18014</v>
      </c>
      <c r="U479" s="252">
        <v>317246</v>
      </c>
      <c r="V479" s="253">
        <v>-2172</v>
      </c>
      <c r="W479" s="254">
        <v>315074</v>
      </c>
      <c r="X479" s="252">
        <v>819</v>
      </c>
      <c r="Y479" s="252">
        <v>41343</v>
      </c>
      <c r="Z479" s="253">
        <v>275084</v>
      </c>
      <c r="AA479" s="262">
        <v>5665</v>
      </c>
      <c r="AB479" s="272">
        <v>306832.92600589979</v>
      </c>
    </row>
    <row r="480" spans="1:28" ht="13.5" customHeight="1">
      <c r="A480" s="18" t="s">
        <v>15</v>
      </c>
      <c r="B480" s="19" t="s">
        <v>45</v>
      </c>
      <c r="C480" s="251">
        <v>827</v>
      </c>
      <c r="D480" s="252">
        <v>0</v>
      </c>
      <c r="E480" s="252">
        <v>231</v>
      </c>
      <c r="F480" s="252">
        <v>0</v>
      </c>
      <c r="G480" s="252">
        <v>5758</v>
      </c>
      <c r="H480" s="252">
        <v>4161</v>
      </c>
      <c r="I480" s="252">
        <v>14852</v>
      </c>
      <c r="J480" s="252">
        <v>15142</v>
      </c>
      <c r="K480" s="252">
        <v>7670</v>
      </c>
      <c r="L480" s="252">
        <v>3552</v>
      </c>
      <c r="M480" s="252">
        <v>7551</v>
      </c>
      <c r="N480" s="252">
        <v>2309</v>
      </c>
      <c r="O480" s="252">
        <v>21754</v>
      </c>
      <c r="P480" s="252">
        <v>19168</v>
      </c>
      <c r="Q480" s="252">
        <v>6613</v>
      </c>
      <c r="R480" s="252">
        <v>7885</v>
      </c>
      <c r="S480" s="252">
        <v>29787</v>
      </c>
      <c r="T480" s="252">
        <v>6870</v>
      </c>
      <c r="U480" s="252">
        <v>154130</v>
      </c>
      <c r="V480" s="253">
        <v>-1056</v>
      </c>
      <c r="W480" s="254">
        <v>153074</v>
      </c>
      <c r="X480" s="252">
        <v>1058</v>
      </c>
      <c r="Y480" s="252">
        <v>20610</v>
      </c>
      <c r="Z480" s="253">
        <v>132462</v>
      </c>
      <c r="AA480" s="262">
        <v>5330</v>
      </c>
      <c r="AB480" s="272">
        <v>148680.64458222364</v>
      </c>
    </row>
    <row r="481" spans="1:28" ht="13.5" customHeight="1">
      <c r="A481" s="18" t="s">
        <v>16</v>
      </c>
      <c r="B481" s="19" t="s">
        <v>46</v>
      </c>
      <c r="C481" s="251">
        <v>1674</v>
      </c>
      <c r="D481" s="252">
        <v>2</v>
      </c>
      <c r="E481" s="252">
        <v>976</v>
      </c>
      <c r="F481" s="252">
        <v>511</v>
      </c>
      <c r="G481" s="252">
        <v>25451</v>
      </c>
      <c r="H481" s="252">
        <v>26600</v>
      </c>
      <c r="I481" s="252">
        <v>23756</v>
      </c>
      <c r="J481" s="252">
        <v>21699</v>
      </c>
      <c r="K481" s="252">
        <v>9461</v>
      </c>
      <c r="L481" s="252">
        <v>5502</v>
      </c>
      <c r="M481" s="252">
        <v>8056</v>
      </c>
      <c r="N481" s="252">
        <v>5293</v>
      </c>
      <c r="O481" s="252">
        <v>41336</v>
      </c>
      <c r="P481" s="252">
        <v>26165</v>
      </c>
      <c r="Q481" s="252">
        <v>21465</v>
      </c>
      <c r="R481" s="252">
        <v>16417</v>
      </c>
      <c r="S481" s="252">
        <v>35469</v>
      </c>
      <c r="T481" s="252">
        <v>13807</v>
      </c>
      <c r="U481" s="252">
        <v>283640</v>
      </c>
      <c r="V481" s="253">
        <v>-1943</v>
      </c>
      <c r="W481" s="254">
        <v>281697</v>
      </c>
      <c r="X481" s="252">
        <v>2652</v>
      </c>
      <c r="Y481" s="252">
        <v>49718</v>
      </c>
      <c r="Z481" s="253">
        <v>231270</v>
      </c>
      <c r="AA481" s="262">
        <v>5841</v>
      </c>
      <c r="AB481" s="272">
        <v>274549.0278030443</v>
      </c>
    </row>
    <row r="482" spans="1:28" ht="13.5" customHeight="1">
      <c r="A482" s="18">
        <v>10</v>
      </c>
      <c r="B482" s="19" t="s">
        <v>47</v>
      </c>
      <c r="C482" s="251">
        <v>6005</v>
      </c>
      <c r="D482" s="252">
        <v>65</v>
      </c>
      <c r="E482" s="252">
        <v>591</v>
      </c>
      <c r="F482" s="252">
        <v>390</v>
      </c>
      <c r="G482" s="252">
        <v>7782</v>
      </c>
      <c r="H482" s="252">
        <v>7149</v>
      </c>
      <c r="I482" s="252">
        <v>29611</v>
      </c>
      <c r="J482" s="252">
        <v>17580</v>
      </c>
      <c r="K482" s="252">
        <v>7510</v>
      </c>
      <c r="L482" s="252">
        <v>5148</v>
      </c>
      <c r="M482" s="252">
        <v>2174</v>
      </c>
      <c r="N482" s="252">
        <v>2629</v>
      </c>
      <c r="O482" s="252">
        <v>17088</v>
      </c>
      <c r="P482" s="252">
        <v>12637</v>
      </c>
      <c r="Q482" s="252">
        <v>25651</v>
      </c>
      <c r="R482" s="252">
        <v>10073</v>
      </c>
      <c r="S482" s="252">
        <v>20448</v>
      </c>
      <c r="T482" s="252">
        <v>6855</v>
      </c>
      <c r="U482" s="252">
        <v>179386</v>
      </c>
      <c r="V482" s="253">
        <v>-1228</v>
      </c>
      <c r="W482" s="254">
        <v>178158</v>
      </c>
      <c r="X482" s="252">
        <v>6661</v>
      </c>
      <c r="Y482" s="252">
        <v>37783</v>
      </c>
      <c r="Z482" s="253">
        <v>134942</v>
      </c>
      <c r="AA482" s="262">
        <v>5696</v>
      </c>
      <c r="AB482" s="272">
        <v>171314.22636976049</v>
      </c>
    </row>
    <row r="483" spans="1:28" ht="13.5" customHeight="1">
      <c r="A483" s="20">
        <v>11</v>
      </c>
      <c r="B483" s="21" t="s">
        <v>48</v>
      </c>
      <c r="C483" s="255">
        <v>2351</v>
      </c>
      <c r="D483" s="256">
        <v>7</v>
      </c>
      <c r="E483" s="256">
        <v>518</v>
      </c>
      <c r="F483" s="256">
        <v>150</v>
      </c>
      <c r="G483" s="256">
        <v>8584</v>
      </c>
      <c r="H483" s="256">
        <v>3703</v>
      </c>
      <c r="I483" s="256">
        <v>11787</v>
      </c>
      <c r="J483" s="256">
        <v>4010</v>
      </c>
      <c r="K483" s="256">
        <v>3591</v>
      </c>
      <c r="L483" s="256">
        <v>1237</v>
      </c>
      <c r="M483" s="256">
        <v>1644</v>
      </c>
      <c r="N483" s="256">
        <v>412</v>
      </c>
      <c r="O483" s="256">
        <v>12931</v>
      </c>
      <c r="P483" s="256">
        <v>4070</v>
      </c>
      <c r="Q483" s="256">
        <v>9195</v>
      </c>
      <c r="R483" s="256">
        <v>4433</v>
      </c>
      <c r="S483" s="256">
        <v>10347</v>
      </c>
      <c r="T483" s="256">
        <v>4763</v>
      </c>
      <c r="U483" s="256">
        <v>83733</v>
      </c>
      <c r="V483" s="257">
        <v>-573</v>
      </c>
      <c r="W483" s="258">
        <v>83160</v>
      </c>
      <c r="X483" s="256">
        <v>2876</v>
      </c>
      <c r="Y483" s="256">
        <v>20521</v>
      </c>
      <c r="Z483" s="257">
        <v>60336</v>
      </c>
      <c r="AA483" s="263">
        <v>4774</v>
      </c>
      <c r="AB483" s="273">
        <v>80695.318699831914</v>
      </c>
    </row>
    <row r="484" spans="1:28" ht="13.5" customHeight="1">
      <c r="A484" s="18">
        <v>12</v>
      </c>
      <c r="B484" s="19" t="s">
        <v>17</v>
      </c>
      <c r="C484" s="247">
        <v>1428</v>
      </c>
      <c r="D484" s="248">
        <v>88</v>
      </c>
      <c r="E484" s="248">
        <v>31</v>
      </c>
      <c r="F484" s="248">
        <v>30</v>
      </c>
      <c r="G484" s="248">
        <v>279</v>
      </c>
      <c r="H484" s="248">
        <v>552</v>
      </c>
      <c r="I484" s="248">
        <v>1402</v>
      </c>
      <c r="J484" s="248">
        <v>445</v>
      </c>
      <c r="K484" s="248">
        <v>133</v>
      </c>
      <c r="L484" s="248">
        <v>642</v>
      </c>
      <c r="M484" s="248">
        <v>0</v>
      </c>
      <c r="N484" s="248">
        <v>158</v>
      </c>
      <c r="O484" s="248">
        <v>1125</v>
      </c>
      <c r="P484" s="248">
        <v>121</v>
      </c>
      <c r="Q484" s="248">
        <v>1505</v>
      </c>
      <c r="R484" s="248">
        <v>885</v>
      </c>
      <c r="S484" s="248">
        <v>854</v>
      </c>
      <c r="T484" s="248">
        <v>567</v>
      </c>
      <c r="U484" s="248">
        <v>10245</v>
      </c>
      <c r="V484" s="249">
        <v>-70</v>
      </c>
      <c r="W484" s="250">
        <v>10175</v>
      </c>
      <c r="X484" s="248">
        <v>1547</v>
      </c>
      <c r="Y484" s="248">
        <v>1711</v>
      </c>
      <c r="Z484" s="249">
        <v>6987</v>
      </c>
      <c r="AA484" s="261">
        <v>3515</v>
      </c>
      <c r="AB484" s="271">
        <v>9696.0038692479666</v>
      </c>
    </row>
    <row r="485" spans="1:28" ht="13.5" customHeight="1">
      <c r="A485" s="18">
        <v>13</v>
      </c>
      <c r="B485" s="19" t="s">
        <v>18</v>
      </c>
      <c r="C485" s="251">
        <v>1109</v>
      </c>
      <c r="D485" s="252">
        <v>10</v>
      </c>
      <c r="E485" s="252">
        <v>255</v>
      </c>
      <c r="F485" s="252">
        <v>0</v>
      </c>
      <c r="G485" s="252">
        <v>155</v>
      </c>
      <c r="H485" s="252">
        <v>321</v>
      </c>
      <c r="I485" s="252">
        <v>1278</v>
      </c>
      <c r="J485" s="252">
        <v>177</v>
      </c>
      <c r="K485" s="252">
        <v>596</v>
      </c>
      <c r="L485" s="252">
        <v>56</v>
      </c>
      <c r="M485" s="252">
        <v>0</v>
      </c>
      <c r="N485" s="252">
        <v>2</v>
      </c>
      <c r="O485" s="252">
        <v>798</v>
      </c>
      <c r="P485" s="252">
        <v>186</v>
      </c>
      <c r="Q485" s="252">
        <v>925</v>
      </c>
      <c r="R485" s="252">
        <v>671</v>
      </c>
      <c r="S485" s="252">
        <v>825</v>
      </c>
      <c r="T485" s="252">
        <v>336</v>
      </c>
      <c r="U485" s="252">
        <v>7700</v>
      </c>
      <c r="V485" s="253">
        <v>-52</v>
      </c>
      <c r="W485" s="254">
        <v>7648</v>
      </c>
      <c r="X485" s="252">
        <v>1374</v>
      </c>
      <c r="Y485" s="252">
        <v>1433</v>
      </c>
      <c r="Z485" s="253">
        <v>4893</v>
      </c>
      <c r="AA485" s="262">
        <v>4232</v>
      </c>
      <c r="AB485" s="272">
        <v>7219.997062241664</v>
      </c>
    </row>
    <row r="486" spans="1:28" ht="13.5" customHeight="1">
      <c r="A486" s="18">
        <v>14</v>
      </c>
      <c r="B486" s="19" t="s">
        <v>19</v>
      </c>
      <c r="C486" s="251">
        <v>584</v>
      </c>
      <c r="D486" s="252">
        <v>7</v>
      </c>
      <c r="E486" s="252">
        <v>18</v>
      </c>
      <c r="F486" s="252">
        <v>0</v>
      </c>
      <c r="G486" s="252">
        <v>183</v>
      </c>
      <c r="H486" s="252">
        <v>31</v>
      </c>
      <c r="I486" s="252">
        <v>545</v>
      </c>
      <c r="J486" s="252">
        <v>99</v>
      </c>
      <c r="K486" s="252">
        <v>35</v>
      </c>
      <c r="L486" s="252">
        <v>104</v>
      </c>
      <c r="M486" s="252">
        <v>0</v>
      </c>
      <c r="N486" s="252">
        <v>2</v>
      </c>
      <c r="O486" s="252">
        <v>351</v>
      </c>
      <c r="P486" s="252">
        <v>1205</v>
      </c>
      <c r="Q486" s="252">
        <v>883</v>
      </c>
      <c r="R486" s="252">
        <v>453</v>
      </c>
      <c r="S486" s="252">
        <v>375</v>
      </c>
      <c r="T486" s="252">
        <v>228</v>
      </c>
      <c r="U486" s="252">
        <v>5103</v>
      </c>
      <c r="V486" s="253">
        <v>-35</v>
      </c>
      <c r="W486" s="254">
        <v>5068</v>
      </c>
      <c r="X486" s="252">
        <v>609</v>
      </c>
      <c r="Y486" s="252">
        <v>728</v>
      </c>
      <c r="Z486" s="253">
        <v>3766</v>
      </c>
      <c r="AA486" s="262">
        <v>4213</v>
      </c>
      <c r="AB486" s="272">
        <v>4864.5163423354643</v>
      </c>
    </row>
    <row r="487" spans="1:28" ht="13.5" customHeight="1">
      <c r="A487" s="18">
        <v>15</v>
      </c>
      <c r="B487" s="19" t="s">
        <v>20</v>
      </c>
      <c r="C487" s="251">
        <v>1199</v>
      </c>
      <c r="D487" s="252">
        <v>2</v>
      </c>
      <c r="E487" s="252">
        <v>76</v>
      </c>
      <c r="F487" s="252">
        <v>30</v>
      </c>
      <c r="G487" s="252">
        <v>1716</v>
      </c>
      <c r="H487" s="252">
        <v>729</v>
      </c>
      <c r="I487" s="252">
        <v>1711</v>
      </c>
      <c r="J487" s="252">
        <v>564</v>
      </c>
      <c r="K487" s="252">
        <v>448</v>
      </c>
      <c r="L487" s="252">
        <v>571</v>
      </c>
      <c r="M487" s="252">
        <v>5</v>
      </c>
      <c r="N487" s="252">
        <v>138</v>
      </c>
      <c r="O487" s="252">
        <v>2256</v>
      </c>
      <c r="P487" s="252">
        <v>877</v>
      </c>
      <c r="Q487" s="252">
        <v>1387</v>
      </c>
      <c r="R487" s="252">
        <v>1332</v>
      </c>
      <c r="S487" s="252">
        <v>2231</v>
      </c>
      <c r="T487" s="252">
        <v>1288</v>
      </c>
      <c r="U487" s="252">
        <v>16560</v>
      </c>
      <c r="V487" s="253">
        <v>-114</v>
      </c>
      <c r="W487" s="254">
        <v>16446</v>
      </c>
      <c r="X487" s="252">
        <v>1277</v>
      </c>
      <c r="Y487" s="252">
        <v>3457</v>
      </c>
      <c r="Z487" s="253">
        <v>11826</v>
      </c>
      <c r="AA487" s="262">
        <v>3556</v>
      </c>
      <c r="AB487" s="272">
        <v>15772.024487528388</v>
      </c>
    </row>
    <row r="488" spans="1:28" ht="13.5" customHeight="1">
      <c r="A488" s="18">
        <v>16</v>
      </c>
      <c r="B488" s="19" t="s">
        <v>21</v>
      </c>
      <c r="C488" s="251">
        <v>943</v>
      </c>
      <c r="D488" s="252">
        <v>2</v>
      </c>
      <c r="E488" s="252">
        <v>297</v>
      </c>
      <c r="F488" s="252">
        <v>1321</v>
      </c>
      <c r="G488" s="252">
        <v>1780</v>
      </c>
      <c r="H488" s="252">
        <v>1514</v>
      </c>
      <c r="I488" s="252">
        <v>5391</v>
      </c>
      <c r="J488" s="252">
        <v>1637</v>
      </c>
      <c r="K488" s="252">
        <v>2441</v>
      </c>
      <c r="L488" s="252">
        <v>1965</v>
      </c>
      <c r="M488" s="252">
        <v>0</v>
      </c>
      <c r="N488" s="252">
        <v>564</v>
      </c>
      <c r="O488" s="252">
        <v>3973</v>
      </c>
      <c r="P488" s="252">
        <v>2356</v>
      </c>
      <c r="Q488" s="252">
        <v>2405</v>
      </c>
      <c r="R488" s="252">
        <v>1985</v>
      </c>
      <c r="S488" s="252">
        <v>4594</v>
      </c>
      <c r="T488" s="252">
        <v>4446</v>
      </c>
      <c r="U488" s="252">
        <v>37614</v>
      </c>
      <c r="V488" s="253">
        <v>-257</v>
      </c>
      <c r="W488" s="254">
        <v>37357</v>
      </c>
      <c r="X488" s="252">
        <v>1242</v>
      </c>
      <c r="Y488" s="252">
        <v>8492</v>
      </c>
      <c r="Z488" s="253">
        <v>27880</v>
      </c>
      <c r="AA488" s="262">
        <v>4234</v>
      </c>
      <c r="AB488" s="272">
        <v>35779.765119133823</v>
      </c>
    </row>
    <row r="489" spans="1:28" ht="13.5" customHeight="1">
      <c r="A489" s="18">
        <v>17</v>
      </c>
      <c r="B489" s="19" t="s">
        <v>22</v>
      </c>
      <c r="C489" s="251">
        <v>535</v>
      </c>
      <c r="D489" s="252">
        <v>20</v>
      </c>
      <c r="E489" s="252">
        <v>354</v>
      </c>
      <c r="F489" s="252">
        <v>150</v>
      </c>
      <c r="G489" s="252">
        <v>336</v>
      </c>
      <c r="H489" s="252">
        <v>651</v>
      </c>
      <c r="I489" s="252">
        <v>6588</v>
      </c>
      <c r="J489" s="252">
        <v>1449</v>
      </c>
      <c r="K489" s="252">
        <v>878</v>
      </c>
      <c r="L489" s="252">
        <v>5176</v>
      </c>
      <c r="M489" s="252">
        <v>85</v>
      </c>
      <c r="N489" s="252">
        <v>194</v>
      </c>
      <c r="O489" s="252">
        <v>5162</v>
      </c>
      <c r="P489" s="252">
        <v>1115</v>
      </c>
      <c r="Q489" s="252">
        <v>3327</v>
      </c>
      <c r="R489" s="252">
        <v>9687</v>
      </c>
      <c r="S489" s="252">
        <v>1791</v>
      </c>
      <c r="T489" s="252">
        <v>3315</v>
      </c>
      <c r="U489" s="252">
        <v>40813</v>
      </c>
      <c r="V489" s="253">
        <v>-280</v>
      </c>
      <c r="W489" s="254">
        <v>40533</v>
      </c>
      <c r="X489" s="252">
        <v>909</v>
      </c>
      <c r="Y489" s="252">
        <v>7074</v>
      </c>
      <c r="Z489" s="253">
        <v>32830</v>
      </c>
      <c r="AA489" s="262">
        <v>3962</v>
      </c>
      <c r="AB489" s="272">
        <v>38757.541714812549</v>
      </c>
    </row>
    <row r="490" spans="1:28" ht="13.5" customHeight="1">
      <c r="A490" s="18">
        <v>18</v>
      </c>
      <c r="B490" s="19" t="s">
        <v>23</v>
      </c>
      <c r="C490" s="251">
        <v>446</v>
      </c>
      <c r="D490" s="252">
        <v>10</v>
      </c>
      <c r="E490" s="252">
        <v>157</v>
      </c>
      <c r="F490" s="252">
        <v>0</v>
      </c>
      <c r="G490" s="252">
        <v>180</v>
      </c>
      <c r="H490" s="252">
        <v>773</v>
      </c>
      <c r="I490" s="252">
        <v>2162</v>
      </c>
      <c r="J490" s="252">
        <v>436</v>
      </c>
      <c r="K490" s="252">
        <v>1652</v>
      </c>
      <c r="L490" s="252">
        <v>134</v>
      </c>
      <c r="M490" s="252">
        <v>790</v>
      </c>
      <c r="N490" s="252">
        <v>20</v>
      </c>
      <c r="O490" s="252">
        <v>1780</v>
      </c>
      <c r="P490" s="252">
        <v>966</v>
      </c>
      <c r="Q490" s="252">
        <v>1479</v>
      </c>
      <c r="R490" s="252">
        <v>1251</v>
      </c>
      <c r="S490" s="252">
        <v>2063</v>
      </c>
      <c r="T490" s="252">
        <v>982</v>
      </c>
      <c r="U490" s="252">
        <v>15281</v>
      </c>
      <c r="V490" s="253">
        <v>-104</v>
      </c>
      <c r="W490" s="254">
        <v>15177</v>
      </c>
      <c r="X490" s="252">
        <v>613</v>
      </c>
      <c r="Y490" s="252">
        <v>2342</v>
      </c>
      <c r="Z490" s="253">
        <v>12326</v>
      </c>
      <c r="AA490" s="262">
        <v>4794</v>
      </c>
      <c r="AB490" s="272">
        <v>14601.097488077427</v>
      </c>
    </row>
    <row r="491" spans="1:28" ht="13.5" customHeight="1">
      <c r="A491" s="18">
        <v>19</v>
      </c>
      <c r="B491" s="19" t="s">
        <v>24</v>
      </c>
      <c r="C491" s="251">
        <v>527</v>
      </c>
      <c r="D491" s="252">
        <v>0</v>
      </c>
      <c r="E491" s="252">
        <v>79</v>
      </c>
      <c r="F491" s="252">
        <v>90</v>
      </c>
      <c r="G491" s="252">
        <v>672</v>
      </c>
      <c r="H491" s="252">
        <v>10699</v>
      </c>
      <c r="I491" s="252">
        <v>6466</v>
      </c>
      <c r="J491" s="252">
        <v>1035</v>
      </c>
      <c r="K491" s="252">
        <v>2321</v>
      </c>
      <c r="L491" s="252">
        <v>581</v>
      </c>
      <c r="M491" s="252">
        <v>469</v>
      </c>
      <c r="N491" s="252">
        <v>333</v>
      </c>
      <c r="O491" s="252">
        <v>3685</v>
      </c>
      <c r="P491" s="252">
        <v>585</v>
      </c>
      <c r="Q491" s="252">
        <v>2182</v>
      </c>
      <c r="R491" s="252">
        <v>1940</v>
      </c>
      <c r="S491" s="252">
        <v>5479</v>
      </c>
      <c r="T491" s="252">
        <v>1420</v>
      </c>
      <c r="U491" s="252">
        <v>38563</v>
      </c>
      <c r="V491" s="253">
        <v>-264</v>
      </c>
      <c r="W491" s="254">
        <v>38299</v>
      </c>
      <c r="X491" s="252">
        <v>606</v>
      </c>
      <c r="Y491" s="252">
        <v>7228</v>
      </c>
      <c r="Z491" s="253">
        <v>30729</v>
      </c>
      <c r="AA491" s="262">
        <v>6522</v>
      </c>
      <c r="AB491" s="272">
        <v>37256.85831428138</v>
      </c>
    </row>
    <row r="492" spans="1:28" ht="13.5" customHeight="1">
      <c r="A492" s="20">
        <v>20</v>
      </c>
      <c r="B492" s="21" t="s">
        <v>25</v>
      </c>
      <c r="C492" s="255">
        <v>1512</v>
      </c>
      <c r="D492" s="256">
        <v>2</v>
      </c>
      <c r="E492" s="256">
        <v>86</v>
      </c>
      <c r="F492" s="256">
        <v>60</v>
      </c>
      <c r="G492" s="256">
        <v>627</v>
      </c>
      <c r="H492" s="256">
        <v>358</v>
      </c>
      <c r="I492" s="256">
        <v>3581</v>
      </c>
      <c r="J492" s="256">
        <v>639</v>
      </c>
      <c r="K492" s="256">
        <v>523</v>
      </c>
      <c r="L492" s="256">
        <v>305</v>
      </c>
      <c r="M492" s="256">
        <v>27</v>
      </c>
      <c r="N492" s="256">
        <v>18</v>
      </c>
      <c r="O492" s="256">
        <v>1165</v>
      </c>
      <c r="P492" s="256">
        <v>127</v>
      </c>
      <c r="Q492" s="256">
        <v>1418</v>
      </c>
      <c r="R492" s="256">
        <v>602</v>
      </c>
      <c r="S492" s="256">
        <v>1061</v>
      </c>
      <c r="T492" s="256">
        <v>734</v>
      </c>
      <c r="U492" s="256">
        <v>12845</v>
      </c>
      <c r="V492" s="257">
        <v>-88</v>
      </c>
      <c r="W492" s="258">
        <v>12757</v>
      </c>
      <c r="X492" s="256">
        <v>1600</v>
      </c>
      <c r="Y492" s="256">
        <v>4268</v>
      </c>
      <c r="Z492" s="257">
        <v>6977</v>
      </c>
      <c r="AA492" s="263">
        <v>4397</v>
      </c>
      <c r="AB492" s="273">
        <v>12158.946942905355</v>
      </c>
    </row>
    <row r="493" spans="1:28" ht="13.5" customHeight="1">
      <c r="A493" s="18">
        <v>21</v>
      </c>
      <c r="B493" s="19" t="s">
        <v>26</v>
      </c>
      <c r="C493" s="247">
        <v>776</v>
      </c>
      <c r="D493" s="248">
        <v>0</v>
      </c>
      <c r="E493" s="248">
        <v>96</v>
      </c>
      <c r="F493" s="248">
        <v>210</v>
      </c>
      <c r="G493" s="248">
        <v>4983</v>
      </c>
      <c r="H493" s="248">
        <v>2705</v>
      </c>
      <c r="I493" s="248">
        <v>10226</v>
      </c>
      <c r="J493" s="248">
        <v>3501</v>
      </c>
      <c r="K493" s="248">
        <v>712</v>
      </c>
      <c r="L493" s="248">
        <v>1763</v>
      </c>
      <c r="M493" s="248">
        <v>65</v>
      </c>
      <c r="N493" s="248">
        <v>854</v>
      </c>
      <c r="O493" s="248">
        <v>15286</v>
      </c>
      <c r="P493" s="248">
        <v>2025</v>
      </c>
      <c r="Q493" s="248">
        <v>3382</v>
      </c>
      <c r="R493" s="248">
        <v>3981</v>
      </c>
      <c r="S493" s="248">
        <v>5987</v>
      </c>
      <c r="T493" s="248">
        <v>4907</v>
      </c>
      <c r="U493" s="248">
        <v>61459</v>
      </c>
      <c r="V493" s="249">
        <v>-421</v>
      </c>
      <c r="W493" s="250">
        <v>61038</v>
      </c>
      <c r="X493" s="248">
        <v>872</v>
      </c>
      <c r="Y493" s="248">
        <v>15419</v>
      </c>
      <c r="Z493" s="249">
        <v>45168</v>
      </c>
      <c r="AA493" s="261">
        <v>4565</v>
      </c>
      <c r="AB493" s="271">
        <v>59482.742963870151</v>
      </c>
    </row>
    <row r="494" spans="1:28" ht="13.5" customHeight="1">
      <c r="A494" s="18">
        <v>22</v>
      </c>
      <c r="B494" s="19" t="s">
        <v>27</v>
      </c>
      <c r="C494" s="251">
        <v>28</v>
      </c>
      <c r="D494" s="252">
        <v>0</v>
      </c>
      <c r="E494" s="252">
        <v>7</v>
      </c>
      <c r="F494" s="252">
        <v>0</v>
      </c>
      <c r="G494" s="252">
        <v>1085</v>
      </c>
      <c r="H494" s="252">
        <v>917</v>
      </c>
      <c r="I494" s="252">
        <v>4428</v>
      </c>
      <c r="J494" s="252">
        <v>1582</v>
      </c>
      <c r="K494" s="252">
        <v>312</v>
      </c>
      <c r="L494" s="252">
        <v>619</v>
      </c>
      <c r="M494" s="252">
        <v>626</v>
      </c>
      <c r="N494" s="252">
        <v>1420</v>
      </c>
      <c r="O494" s="252">
        <v>4237</v>
      </c>
      <c r="P494" s="252">
        <v>2841</v>
      </c>
      <c r="Q494" s="252">
        <v>11341</v>
      </c>
      <c r="R494" s="252">
        <v>1958</v>
      </c>
      <c r="S494" s="252">
        <v>4232</v>
      </c>
      <c r="T494" s="252">
        <v>1902</v>
      </c>
      <c r="U494" s="252">
        <v>37535</v>
      </c>
      <c r="V494" s="253">
        <v>-258</v>
      </c>
      <c r="W494" s="254">
        <v>37277</v>
      </c>
      <c r="X494" s="252">
        <v>35</v>
      </c>
      <c r="Y494" s="252">
        <v>5513</v>
      </c>
      <c r="Z494" s="253">
        <v>31987</v>
      </c>
      <c r="AA494" s="262">
        <v>4845</v>
      </c>
      <c r="AB494" s="272">
        <v>36488.778789935794</v>
      </c>
    </row>
    <row r="495" spans="1:28" ht="13.5" customHeight="1">
      <c r="A495" s="18">
        <v>23</v>
      </c>
      <c r="B495" s="19" t="s">
        <v>28</v>
      </c>
      <c r="C495" s="251">
        <v>0</v>
      </c>
      <c r="D495" s="252">
        <v>5</v>
      </c>
      <c r="E495" s="252">
        <v>47</v>
      </c>
      <c r="F495" s="252">
        <v>0</v>
      </c>
      <c r="G495" s="252">
        <v>561</v>
      </c>
      <c r="H495" s="252">
        <v>6441</v>
      </c>
      <c r="I495" s="252">
        <v>11020</v>
      </c>
      <c r="J495" s="252">
        <v>7957</v>
      </c>
      <c r="K495" s="252">
        <v>546</v>
      </c>
      <c r="L495" s="252">
        <v>5394</v>
      </c>
      <c r="M495" s="252">
        <v>8020</v>
      </c>
      <c r="N495" s="252">
        <v>2755</v>
      </c>
      <c r="O495" s="252">
        <v>16059</v>
      </c>
      <c r="P495" s="252">
        <v>7082</v>
      </c>
      <c r="Q495" s="252">
        <v>3177</v>
      </c>
      <c r="R495" s="252">
        <v>3350</v>
      </c>
      <c r="S495" s="252">
        <v>6293</v>
      </c>
      <c r="T495" s="252">
        <v>5776</v>
      </c>
      <c r="U495" s="252">
        <v>84483</v>
      </c>
      <c r="V495" s="253">
        <v>-578</v>
      </c>
      <c r="W495" s="254">
        <v>83905</v>
      </c>
      <c r="X495" s="252">
        <v>52</v>
      </c>
      <c r="Y495" s="252">
        <v>11581</v>
      </c>
      <c r="Z495" s="253">
        <v>72850</v>
      </c>
      <c r="AA495" s="262">
        <v>5728</v>
      </c>
      <c r="AB495" s="272">
        <v>82144.283968449483</v>
      </c>
    </row>
    <row r="496" spans="1:28" ht="13.5" customHeight="1">
      <c r="A496" s="18">
        <v>24</v>
      </c>
      <c r="B496" s="19" t="s">
        <v>29</v>
      </c>
      <c r="C496" s="251">
        <v>44</v>
      </c>
      <c r="D496" s="252">
        <v>2</v>
      </c>
      <c r="E496" s="252">
        <v>96</v>
      </c>
      <c r="F496" s="252">
        <v>30</v>
      </c>
      <c r="G496" s="252">
        <v>294</v>
      </c>
      <c r="H496" s="252">
        <v>1009</v>
      </c>
      <c r="I496" s="252">
        <v>3417</v>
      </c>
      <c r="J496" s="252">
        <v>2354</v>
      </c>
      <c r="K496" s="252">
        <v>1023</v>
      </c>
      <c r="L496" s="252">
        <v>2069</v>
      </c>
      <c r="M496" s="252">
        <v>154</v>
      </c>
      <c r="N496" s="252">
        <v>530</v>
      </c>
      <c r="O496" s="252">
        <v>7487</v>
      </c>
      <c r="P496" s="252">
        <v>1694</v>
      </c>
      <c r="Q496" s="252">
        <v>1806</v>
      </c>
      <c r="R496" s="252">
        <v>3863</v>
      </c>
      <c r="S496" s="252">
        <v>11285</v>
      </c>
      <c r="T496" s="252">
        <v>2610</v>
      </c>
      <c r="U496" s="252">
        <v>39767</v>
      </c>
      <c r="V496" s="253">
        <v>-273</v>
      </c>
      <c r="W496" s="254">
        <v>39494</v>
      </c>
      <c r="X496" s="252">
        <v>142</v>
      </c>
      <c r="Y496" s="252">
        <v>3741</v>
      </c>
      <c r="Z496" s="253">
        <v>35884</v>
      </c>
      <c r="AA496" s="262">
        <v>4809</v>
      </c>
      <c r="AB496" s="272">
        <v>38375.235157905285</v>
      </c>
    </row>
    <row r="497" spans="1:28" ht="13.5" customHeight="1">
      <c r="A497" s="18">
        <v>25</v>
      </c>
      <c r="B497" s="19" t="s">
        <v>30</v>
      </c>
      <c r="C497" s="251">
        <v>133</v>
      </c>
      <c r="D497" s="252">
        <v>0</v>
      </c>
      <c r="E497" s="252">
        <v>18</v>
      </c>
      <c r="F497" s="252">
        <v>210</v>
      </c>
      <c r="G497" s="252">
        <v>6759</v>
      </c>
      <c r="H497" s="252">
        <v>14120</v>
      </c>
      <c r="I497" s="252">
        <v>3636</v>
      </c>
      <c r="J497" s="252">
        <v>3129</v>
      </c>
      <c r="K497" s="252">
        <v>1237</v>
      </c>
      <c r="L497" s="252">
        <v>586</v>
      </c>
      <c r="M497" s="252">
        <v>825</v>
      </c>
      <c r="N497" s="252">
        <v>262</v>
      </c>
      <c r="O497" s="252">
        <v>7532</v>
      </c>
      <c r="P497" s="252">
        <v>1955</v>
      </c>
      <c r="Q497" s="252">
        <v>1642</v>
      </c>
      <c r="R497" s="252">
        <v>1893</v>
      </c>
      <c r="S497" s="252">
        <v>10107</v>
      </c>
      <c r="T497" s="252">
        <v>3356</v>
      </c>
      <c r="U497" s="252">
        <v>57400</v>
      </c>
      <c r="V497" s="253">
        <v>-393</v>
      </c>
      <c r="W497" s="254">
        <v>57007</v>
      </c>
      <c r="X497" s="252">
        <v>151</v>
      </c>
      <c r="Y497" s="252">
        <v>10605</v>
      </c>
      <c r="Z497" s="253">
        <v>46644</v>
      </c>
      <c r="AA497" s="262">
        <v>6214</v>
      </c>
      <c r="AB497" s="272">
        <v>55626.496302152329</v>
      </c>
    </row>
    <row r="498" spans="1:28" ht="13.5" customHeight="1">
      <c r="A498" s="20">
        <v>26</v>
      </c>
      <c r="B498" s="21" t="s">
        <v>31</v>
      </c>
      <c r="C498" s="255">
        <v>154</v>
      </c>
      <c r="D498" s="256">
        <v>2</v>
      </c>
      <c r="E498" s="256">
        <v>84</v>
      </c>
      <c r="F498" s="256">
        <v>60</v>
      </c>
      <c r="G498" s="256">
        <v>27731</v>
      </c>
      <c r="H498" s="256">
        <v>5974</v>
      </c>
      <c r="I498" s="256">
        <v>7784</v>
      </c>
      <c r="J498" s="256">
        <v>12840</v>
      </c>
      <c r="K498" s="256">
        <v>6599</v>
      </c>
      <c r="L498" s="256">
        <v>1247</v>
      </c>
      <c r="M498" s="256">
        <v>435</v>
      </c>
      <c r="N498" s="256">
        <v>1862</v>
      </c>
      <c r="O498" s="256">
        <v>10379</v>
      </c>
      <c r="P498" s="256">
        <v>6153</v>
      </c>
      <c r="Q498" s="256">
        <v>2474</v>
      </c>
      <c r="R498" s="256">
        <v>21048</v>
      </c>
      <c r="S498" s="256">
        <v>18333</v>
      </c>
      <c r="T498" s="256">
        <v>4711</v>
      </c>
      <c r="U498" s="256">
        <v>127870</v>
      </c>
      <c r="V498" s="257">
        <v>-876</v>
      </c>
      <c r="W498" s="258">
        <v>126994</v>
      </c>
      <c r="X498" s="256">
        <v>240</v>
      </c>
      <c r="Y498" s="256">
        <v>35575</v>
      </c>
      <c r="Z498" s="257">
        <v>92055</v>
      </c>
      <c r="AA498" s="263">
        <v>5710</v>
      </c>
      <c r="AB498" s="273">
        <v>123440.45094268004</v>
      </c>
    </row>
    <row r="499" spans="1:28" ht="13.5" customHeight="1">
      <c r="A499" s="18">
        <v>27</v>
      </c>
      <c r="B499" s="19" t="s">
        <v>32</v>
      </c>
      <c r="C499" s="247">
        <v>98</v>
      </c>
      <c r="D499" s="248">
        <v>0</v>
      </c>
      <c r="E499" s="248">
        <v>139</v>
      </c>
      <c r="F499" s="248">
        <v>30</v>
      </c>
      <c r="G499" s="248">
        <v>607</v>
      </c>
      <c r="H499" s="248">
        <v>875</v>
      </c>
      <c r="I499" s="248">
        <v>4452</v>
      </c>
      <c r="J499" s="248">
        <v>4354</v>
      </c>
      <c r="K499" s="248">
        <v>627</v>
      </c>
      <c r="L499" s="248">
        <v>1051</v>
      </c>
      <c r="M499" s="248">
        <v>129</v>
      </c>
      <c r="N499" s="248">
        <v>1176</v>
      </c>
      <c r="O499" s="248">
        <v>6498</v>
      </c>
      <c r="P499" s="248">
        <v>1399</v>
      </c>
      <c r="Q499" s="248">
        <v>3129</v>
      </c>
      <c r="R499" s="248">
        <v>4591</v>
      </c>
      <c r="S499" s="248">
        <v>6365</v>
      </c>
      <c r="T499" s="248">
        <v>1936</v>
      </c>
      <c r="U499" s="248">
        <v>37456</v>
      </c>
      <c r="V499" s="249">
        <v>-257</v>
      </c>
      <c r="W499" s="250">
        <v>37199</v>
      </c>
      <c r="X499" s="248">
        <v>237</v>
      </c>
      <c r="Y499" s="248">
        <v>5089</v>
      </c>
      <c r="Z499" s="249">
        <v>32130</v>
      </c>
      <c r="AA499" s="261">
        <v>5030</v>
      </c>
      <c r="AB499" s="271">
        <v>36254.321303877317</v>
      </c>
    </row>
    <row r="500" spans="1:28" ht="13.5" customHeight="1">
      <c r="A500" s="18">
        <v>28</v>
      </c>
      <c r="B500" s="19" t="s">
        <v>33</v>
      </c>
      <c r="C500" s="251">
        <v>608</v>
      </c>
      <c r="D500" s="252">
        <v>10</v>
      </c>
      <c r="E500" s="252">
        <v>0</v>
      </c>
      <c r="F500" s="252">
        <v>90</v>
      </c>
      <c r="G500" s="252">
        <v>3835</v>
      </c>
      <c r="H500" s="252">
        <v>3636</v>
      </c>
      <c r="I500" s="252">
        <v>8282</v>
      </c>
      <c r="J500" s="252">
        <v>11849</v>
      </c>
      <c r="K500" s="252">
        <v>2487</v>
      </c>
      <c r="L500" s="252">
        <v>2228</v>
      </c>
      <c r="M500" s="252">
        <v>432</v>
      </c>
      <c r="N500" s="252">
        <v>1798</v>
      </c>
      <c r="O500" s="252">
        <v>13466</v>
      </c>
      <c r="P500" s="252">
        <v>4569</v>
      </c>
      <c r="Q500" s="252">
        <v>3183</v>
      </c>
      <c r="R500" s="252">
        <v>5735</v>
      </c>
      <c r="S500" s="252">
        <v>24976</v>
      </c>
      <c r="T500" s="252">
        <v>5668</v>
      </c>
      <c r="U500" s="252">
        <v>92852</v>
      </c>
      <c r="V500" s="253">
        <v>-636</v>
      </c>
      <c r="W500" s="254">
        <v>92216</v>
      </c>
      <c r="X500" s="252">
        <v>618</v>
      </c>
      <c r="Y500" s="252">
        <v>12207</v>
      </c>
      <c r="Z500" s="253">
        <v>80027</v>
      </c>
      <c r="AA500" s="262">
        <v>4683</v>
      </c>
      <c r="AB500" s="272">
        <v>89686.057485341618</v>
      </c>
    </row>
    <row r="501" spans="1:28" ht="13.5" customHeight="1">
      <c r="A501" s="18">
        <v>29</v>
      </c>
      <c r="B501" s="19" t="s">
        <v>34</v>
      </c>
      <c r="C501" s="251">
        <v>1</v>
      </c>
      <c r="D501" s="252">
        <v>2</v>
      </c>
      <c r="E501" s="252">
        <v>26</v>
      </c>
      <c r="F501" s="252">
        <v>0</v>
      </c>
      <c r="G501" s="252">
        <v>14</v>
      </c>
      <c r="H501" s="252">
        <v>169</v>
      </c>
      <c r="I501" s="252">
        <v>508</v>
      </c>
      <c r="J501" s="252">
        <v>27</v>
      </c>
      <c r="K501" s="252">
        <v>107</v>
      </c>
      <c r="L501" s="252">
        <v>163</v>
      </c>
      <c r="M501" s="252">
        <v>5</v>
      </c>
      <c r="N501" s="252">
        <v>4</v>
      </c>
      <c r="O501" s="252">
        <v>103</v>
      </c>
      <c r="P501" s="252">
        <v>104</v>
      </c>
      <c r="Q501" s="252">
        <v>457</v>
      </c>
      <c r="R501" s="252">
        <v>332</v>
      </c>
      <c r="S501" s="252">
        <v>184</v>
      </c>
      <c r="T501" s="252">
        <v>514</v>
      </c>
      <c r="U501" s="252">
        <v>2720</v>
      </c>
      <c r="V501" s="253">
        <v>-18</v>
      </c>
      <c r="W501" s="254">
        <v>2702</v>
      </c>
      <c r="X501" s="252">
        <v>29</v>
      </c>
      <c r="Y501" s="252">
        <v>522</v>
      </c>
      <c r="Z501" s="253">
        <v>2169</v>
      </c>
      <c r="AA501" s="262">
        <v>4716</v>
      </c>
      <c r="AB501" s="272">
        <v>2594.6219485852503</v>
      </c>
    </row>
    <row r="502" spans="1:28" ht="13.5" customHeight="1">
      <c r="A502" s="18">
        <v>30</v>
      </c>
      <c r="B502" s="19" t="s">
        <v>35</v>
      </c>
      <c r="C502" s="251">
        <v>1</v>
      </c>
      <c r="D502" s="252">
        <v>0</v>
      </c>
      <c r="E502" s="252">
        <v>24</v>
      </c>
      <c r="F502" s="252">
        <v>0</v>
      </c>
      <c r="G502" s="252">
        <v>28</v>
      </c>
      <c r="H502" s="252">
        <v>182</v>
      </c>
      <c r="I502" s="252">
        <v>890</v>
      </c>
      <c r="J502" s="252">
        <v>92</v>
      </c>
      <c r="K502" s="252">
        <v>281</v>
      </c>
      <c r="L502" s="252">
        <v>312</v>
      </c>
      <c r="M502" s="252">
        <v>0</v>
      </c>
      <c r="N502" s="252">
        <v>6</v>
      </c>
      <c r="O502" s="252">
        <v>180</v>
      </c>
      <c r="P502" s="252">
        <v>202</v>
      </c>
      <c r="Q502" s="252">
        <v>392</v>
      </c>
      <c r="R502" s="252">
        <v>545</v>
      </c>
      <c r="S502" s="252">
        <v>239</v>
      </c>
      <c r="T502" s="252">
        <v>685</v>
      </c>
      <c r="U502" s="252">
        <v>4059</v>
      </c>
      <c r="V502" s="253">
        <v>-27</v>
      </c>
      <c r="W502" s="254">
        <v>4032</v>
      </c>
      <c r="X502" s="252">
        <v>25</v>
      </c>
      <c r="Y502" s="252">
        <v>918</v>
      </c>
      <c r="Z502" s="253">
        <v>3116</v>
      </c>
      <c r="AA502" s="262">
        <v>5196</v>
      </c>
      <c r="AB502" s="272">
        <v>3848.0810686923896</v>
      </c>
    </row>
    <row r="503" spans="1:28" ht="13.5" customHeight="1">
      <c r="A503" s="18">
        <v>31</v>
      </c>
      <c r="B503" s="19" t="s">
        <v>36</v>
      </c>
      <c r="C503" s="251">
        <v>53</v>
      </c>
      <c r="D503" s="252">
        <v>0</v>
      </c>
      <c r="E503" s="252">
        <v>7</v>
      </c>
      <c r="F503" s="252">
        <v>0</v>
      </c>
      <c r="G503" s="252">
        <v>163</v>
      </c>
      <c r="H503" s="252">
        <v>124</v>
      </c>
      <c r="I503" s="252">
        <v>227</v>
      </c>
      <c r="J503" s="252">
        <v>24</v>
      </c>
      <c r="K503" s="252">
        <v>164</v>
      </c>
      <c r="L503" s="252">
        <v>41</v>
      </c>
      <c r="M503" s="252">
        <v>0</v>
      </c>
      <c r="N503" s="252">
        <v>2</v>
      </c>
      <c r="O503" s="252">
        <v>216</v>
      </c>
      <c r="P503" s="252">
        <v>0</v>
      </c>
      <c r="Q503" s="252">
        <v>491</v>
      </c>
      <c r="R503" s="252">
        <v>288</v>
      </c>
      <c r="S503" s="252">
        <v>429</v>
      </c>
      <c r="T503" s="252">
        <v>79</v>
      </c>
      <c r="U503" s="252">
        <v>2308</v>
      </c>
      <c r="V503" s="253">
        <v>-16</v>
      </c>
      <c r="W503" s="254">
        <v>2292</v>
      </c>
      <c r="X503" s="252">
        <v>60</v>
      </c>
      <c r="Y503" s="252">
        <v>390</v>
      </c>
      <c r="Z503" s="253">
        <v>1858</v>
      </c>
      <c r="AA503" s="262">
        <v>5221</v>
      </c>
      <c r="AB503" s="272">
        <v>2218.1601541977548</v>
      </c>
    </row>
    <row r="504" spans="1:28" ht="13.5" customHeight="1">
      <c r="A504" s="18">
        <v>32</v>
      </c>
      <c r="B504" s="19" t="s">
        <v>37</v>
      </c>
      <c r="C504" s="251">
        <v>0</v>
      </c>
      <c r="D504" s="252">
        <v>0</v>
      </c>
      <c r="E504" s="252">
        <v>55</v>
      </c>
      <c r="F504" s="252">
        <v>0</v>
      </c>
      <c r="G504" s="252">
        <v>0</v>
      </c>
      <c r="H504" s="252">
        <v>15</v>
      </c>
      <c r="I504" s="252">
        <v>714</v>
      </c>
      <c r="J504" s="252">
        <v>16</v>
      </c>
      <c r="K504" s="252">
        <v>34</v>
      </c>
      <c r="L504" s="252">
        <v>21</v>
      </c>
      <c r="M504" s="252">
        <v>0</v>
      </c>
      <c r="N504" s="252">
        <v>13</v>
      </c>
      <c r="O504" s="252">
        <v>56</v>
      </c>
      <c r="P504" s="252">
        <v>0</v>
      </c>
      <c r="Q504" s="252">
        <v>247</v>
      </c>
      <c r="R504" s="252">
        <v>179</v>
      </c>
      <c r="S504" s="252">
        <v>127</v>
      </c>
      <c r="T504" s="252">
        <v>15</v>
      </c>
      <c r="U504" s="252">
        <v>1492</v>
      </c>
      <c r="V504" s="253">
        <v>-11</v>
      </c>
      <c r="W504" s="254">
        <v>1481</v>
      </c>
      <c r="X504" s="252">
        <v>55</v>
      </c>
      <c r="Y504" s="252">
        <v>714</v>
      </c>
      <c r="Z504" s="253">
        <v>723</v>
      </c>
      <c r="AA504" s="262">
        <v>5972</v>
      </c>
      <c r="AB504" s="272">
        <v>1415.8223551833871</v>
      </c>
    </row>
    <row r="505" spans="1:28" ht="13.5" customHeight="1">
      <c r="A505" s="18">
        <v>33</v>
      </c>
      <c r="B505" s="19" t="s">
        <v>38</v>
      </c>
      <c r="C505" s="251">
        <v>1087</v>
      </c>
      <c r="D505" s="252">
        <v>7</v>
      </c>
      <c r="E505" s="252">
        <v>26</v>
      </c>
      <c r="F505" s="252">
        <v>120</v>
      </c>
      <c r="G505" s="252">
        <v>2039</v>
      </c>
      <c r="H505" s="252">
        <v>232</v>
      </c>
      <c r="I505" s="252">
        <v>979</v>
      </c>
      <c r="J505" s="252">
        <v>219</v>
      </c>
      <c r="K505" s="252">
        <v>102</v>
      </c>
      <c r="L505" s="252">
        <v>99</v>
      </c>
      <c r="M505" s="252">
        <v>0</v>
      </c>
      <c r="N505" s="252">
        <v>5</v>
      </c>
      <c r="O505" s="252">
        <v>107</v>
      </c>
      <c r="P505" s="252">
        <v>84</v>
      </c>
      <c r="Q505" s="252">
        <v>785</v>
      </c>
      <c r="R505" s="252">
        <v>348</v>
      </c>
      <c r="S505" s="252">
        <v>216</v>
      </c>
      <c r="T505" s="252">
        <v>145</v>
      </c>
      <c r="U505" s="252">
        <v>6600</v>
      </c>
      <c r="V505" s="253">
        <v>-45</v>
      </c>
      <c r="W505" s="254">
        <v>6555</v>
      </c>
      <c r="X505" s="252">
        <v>1120</v>
      </c>
      <c r="Y505" s="252">
        <v>3138</v>
      </c>
      <c r="Z505" s="253">
        <v>2342</v>
      </c>
      <c r="AA505" s="262">
        <v>5863</v>
      </c>
      <c r="AB505" s="272">
        <v>6193.1373019327029</v>
      </c>
    </row>
    <row r="506" spans="1:28" ht="13.5" customHeight="1">
      <c r="A506" s="18">
        <v>34</v>
      </c>
      <c r="B506" s="19" t="s">
        <v>39</v>
      </c>
      <c r="C506" s="251">
        <v>297</v>
      </c>
      <c r="D506" s="252">
        <v>0</v>
      </c>
      <c r="E506" s="252">
        <v>8</v>
      </c>
      <c r="F506" s="252">
        <v>0</v>
      </c>
      <c r="G506" s="252">
        <v>544</v>
      </c>
      <c r="H506" s="252">
        <v>92</v>
      </c>
      <c r="I506" s="252">
        <v>1391</v>
      </c>
      <c r="J506" s="252">
        <v>55</v>
      </c>
      <c r="K506" s="252">
        <v>103</v>
      </c>
      <c r="L506" s="252">
        <v>105</v>
      </c>
      <c r="M506" s="252">
        <v>0</v>
      </c>
      <c r="N506" s="252">
        <v>4</v>
      </c>
      <c r="O506" s="252">
        <v>33</v>
      </c>
      <c r="P506" s="252">
        <v>56</v>
      </c>
      <c r="Q506" s="252">
        <v>419</v>
      </c>
      <c r="R506" s="252">
        <v>291</v>
      </c>
      <c r="S506" s="252">
        <v>169</v>
      </c>
      <c r="T506" s="252">
        <v>72</v>
      </c>
      <c r="U506" s="252">
        <v>3639</v>
      </c>
      <c r="V506" s="253">
        <v>-25</v>
      </c>
      <c r="W506" s="254">
        <v>3614</v>
      </c>
      <c r="X506" s="252">
        <v>305</v>
      </c>
      <c r="Y506" s="252">
        <v>1935</v>
      </c>
      <c r="Z506" s="253">
        <v>1399</v>
      </c>
      <c r="AA506" s="262">
        <v>6340</v>
      </c>
      <c r="AB506" s="272">
        <v>3446.6578729374755</v>
      </c>
    </row>
    <row r="507" spans="1:28" ht="13.5" customHeight="1">
      <c r="A507" s="18">
        <v>35</v>
      </c>
      <c r="B507" s="19" t="s">
        <v>40</v>
      </c>
      <c r="C507" s="251">
        <v>122</v>
      </c>
      <c r="D507" s="252">
        <v>5</v>
      </c>
      <c r="E507" s="252">
        <v>107</v>
      </c>
      <c r="F507" s="252">
        <v>30</v>
      </c>
      <c r="G507" s="252">
        <v>217</v>
      </c>
      <c r="H507" s="252">
        <v>185</v>
      </c>
      <c r="I507" s="252">
        <v>2013</v>
      </c>
      <c r="J507" s="252">
        <v>206</v>
      </c>
      <c r="K507" s="252">
        <v>243</v>
      </c>
      <c r="L507" s="252">
        <v>74</v>
      </c>
      <c r="M507" s="252">
        <v>0</v>
      </c>
      <c r="N507" s="252">
        <v>16</v>
      </c>
      <c r="O507" s="252">
        <v>140</v>
      </c>
      <c r="P507" s="252">
        <v>72</v>
      </c>
      <c r="Q507" s="252">
        <v>606</v>
      </c>
      <c r="R507" s="252">
        <v>535</v>
      </c>
      <c r="S507" s="252">
        <v>334</v>
      </c>
      <c r="T507" s="252">
        <v>126</v>
      </c>
      <c r="U507" s="252">
        <v>5031</v>
      </c>
      <c r="V507" s="253">
        <v>-34</v>
      </c>
      <c r="W507" s="254">
        <v>4997</v>
      </c>
      <c r="X507" s="252">
        <v>234</v>
      </c>
      <c r="Y507" s="252">
        <v>2260</v>
      </c>
      <c r="Z507" s="253">
        <v>2537</v>
      </c>
      <c r="AA507" s="262">
        <v>5879</v>
      </c>
      <c r="AB507" s="272">
        <v>4760.1407189931933</v>
      </c>
    </row>
    <row r="508" spans="1:28" ht="13.5" customHeight="1">
      <c r="A508" s="18">
        <v>36</v>
      </c>
      <c r="B508" s="19" t="s">
        <v>41</v>
      </c>
      <c r="C508" s="251">
        <v>334</v>
      </c>
      <c r="D508" s="252">
        <v>0</v>
      </c>
      <c r="E508" s="252">
        <v>155</v>
      </c>
      <c r="F508" s="252">
        <v>0</v>
      </c>
      <c r="G508" s="252">
        <v>103</v>
      </c>
      <c r="H508" s="252">
        <v>127</v>
      </c>
      <c r="I508" s="252">
        <v>2000</v>
      </c>
      <c r="J508" s="252">
        <v>155</v>
      </c>
      <c r="K508" s="252">
        <v>425</v>
      </c>
      <c r="L508" s="252">
        <v>81</v>
      </c>
      <c r="M508" s="252">
        <v>0</v>
      </c>
      <c r="N508" s="252">
        <v>13</v>
      </c>
      <c r="O508" s="252">
        <v>249</v>
      </c>
      <c r="P508" s="252">
        <v>31</v>
      </c>
      <c r="Q508" s="252">
        <v>693</v>
      </c>
      <c r="R508" s="252">
        <v>372</v>
      </c>
      <c r="S508" s="252">
        <v>404</v>
      </c>
      <c r="T508" s="252">
        <v>124</v>
      </c>
      <c r="U508" s="252">
        <v>5266</v>
      </c>
      <c r="V508" s="253">
        <v>-36</v>
      </c>
      <c r="W508" s="254">
        <v>5230</v>
      </c>
      <c r="X508" s="252">
        <v>489</v>
      </c>
      <c r="Y508" s="252">
        <v>2103</v>
      </c>
      <c r="Z508" s="253">
        <v>2674</v>
      </c>
      <c r="AA508" s="262">
        <v>5648</v>
      </c>
      <c r="AB508" s="272">
        <v>4942.8045070520666</v>
      </c>
    </row>
    <row r="509" spans="1:28" ht="13.5" customHeight="1">
      <c r="A509" s="18">
        <v>37</v>
      </c>
      <c r="B509" s="19" t="s">
        <v>49</v>
      </c>
      <c r="C509" s="251">
        <v>1074</v>
      </c>
      <c r="D509" s="252">
        <v>0</v>
      </c>
      <c r="E509" s="252">
        <v>454</v>
      </c>
      <c r="F509" s="252">
        <v>60</v>
      </c>
      <c r="G509" s="252">
        <v>1133</v>
      </c>
      <c r="H509" s="252">
        <v>1226</v>
      </c>
      <c r="I509" s="252">
        <v>2117</v>
      </c>
      <c r="J509" s="252">
        <v>1176</v>
      </c>
      <c r="K509" s="252">
        <v>789</v>
      </c>
      <c r="L509" s="252">
        <v>571</v>
      </c>
      <c r="M509" s="252">
        <v>0</v>
      </c>
      <c r="N509" s="252">
        <v>203</v>
      </c>
      <c r="O509" s="252">
        <v>1956</v>
      </c>
      <c r="P509" s="252">
        <v>957</v>
      </c>
      <c r="Q509" s="252">
        <v>3831</v>
      </c>
      <c r="R509" s="252">
        <v>1804</v>
      </c>
      <c r="S509" s="252">
        <v>1986</v>
      </c>
      <c r="T509" s="252">
        <v>968</v>
      </c>
      <c r="U509" s="252">
        <v>20305</v>
      </c>
      <c r="V509" s="253">
        <v>-139</v>
      </c>
      <c r="W509" s="254">
        <v>20166</v>
      </c>
      <c r="X509" s="252">
        <v>1528</v>
      </c>
      <c r="Y509" s="252">
        <v>3310</v>
      </c>
      <c r="Z509" s="253">
        <v>15467</v>
      </c>
      <c r="AA509" s="262">
        <v>4486</v>
      </c>
      <c r="AB509" s="272">
        <v>19350.299844473888</v>
      </c>
    </row>
    <row r="510" spans="1:28" ht="13.5" customHeight="1">
      <c r="A510" s="20">
        <v>38</v>
      </c>
      <c r="B510" s="21" t="s">
        <v>50</v>
      </c>
      <c r="C510" s="255">
        <v>2130</v>
      </c>
      <c r="D510" s="256">
        <v>0</v>
      </c>
      <c r="E510" s="256">
        <v>114</v>
      </c>
      <c r="F510" s="256">
        <v>90</v>
      </c>
      <c r="G510" s="256">
        <v>2158</v>
      </c>
      <c r="H510" s="256">
        <v>2070</v>
      </c>
      <c r="I510" s="256">
        <v>7111</v>
      </c>
      <c r="J510" s="256">
        <v>3062</v>
      </c>
      <c r="K510" s="256">
        <v>1982</v>
      </c>
      <c r="L510" s="256">
        <v>702</v>
      </c>
      <c r="M510" s="256">
        <v>845</v>
      </c>
      <c r="N510" s="256">
        <v>768</v>
      </c>
      <c r="O510" s="256">
        <v>9073</v>
      </c>
      <c r="P510" s="256">
        <v>2874</v>
      </c>
      <c r="Q510" s="256">
        <v>6242</v>
      </c>
      <c r="R510" s="256">
        <v>6351</v>
      </c>
      <c r="S510" s="256">
        <v>11787</v>
      </c>
      <c r="T510" s="256">
        <v>2577</v>
      </c>
      <c r="U510" s="256">
        <v>59936</v>
      </c>
      <c r="V510" s="257">
        <v>-410</v>
      </c>
      <c r="W510" s="258">
        <v>59526</v>
      </c>
      <c r="X510" s="256">
        <v>2244</v>
      </c>
      <c r="Y510" s="256">
        <v>9359</v>
      </c>
      <c r="Z510" s="257">
        <v>48333</v>
      </c>
      <c r="AA510" s="263">
        <v>5032</v>
      </c>
      <c r="AB510" s="273">
        <v>57978.479289545867</v>
      </c>
    </row>
    <row r="511" spans="1:28" ht="13.5" customHeight="1">
      <c r="A511" s="20">
        <v>39</v>
      </c>
      <c r="B511" s="21" t="s">
        <v>42</v>
      </c>
      <c r="C511" s="243">
        <v>634</v>
      </c>
      <c r="D511" s="244">
        <v>0</v>
      </c>
      <c r="E511" s="244">
        <v>1</v>
      </c>
      <c r="F511" s="244">
        <v>0</v>
      </c>
      <c r="G511" s="244">
        <v>509</v>
      </c>
      <c r="H511" s="244">
        <v>166</v>
      </c>
      <c r="I511" s="244">
        <v>830</v>
      </c>
      <c r="J511" s="244">
        <v>112</v>
      </c>
      <c r="K511" s="244">
        <v>164</v>
      </c>
      <c r="L511" s="244">
        <v>51</v>
      </c>
      <c r="M511" s="244">
        <v>0</v>
      </c>
      <c r="N511" s="244">
        <v>5</v>
      </c>
      <c r="O511" s="244">
        <v>225</v>
      </c>
      <c r="P511" s="244">
        <v>74</v>
      </c>
      <c r="Q511" s="244">
        <v>552</v>
      </c>
      <c r="R511" s="244">
        <v>371</v>
      </c>
      <c r="S511" s="244">
        <v>159</v>
      </c>
      <c r="T511" s="244">
        <v>102</v>
      </c>
      <c r="U511" s="244">
        <v>3955</v>
      </c>
      <c r="V511" s="245">
        <v>-27</v>
      </c>
      <c r="W511" s="246">
        <v>3928</v>
      </c>
      <c r="X511" s="244">
        <v>635</v>
      </c>
      <c r="Y511" s="244">
        <v>1339</v>
      </c>
      <c r="Z511" s="245">
        <v>1981</v>
      </c>
      <c r="AA511" s="260">
        <v>5068</v>
      </c>
      <c r="AB511" s="270">
        <v>3786.1592702349899</v>
      </c>
    </row>
    <row r="512" spans="1:28" ht="13.5" customHeight="1">
      <c r="A512" s="18">
        <v>40</v>
      </c>
      <c r="B512" s="19" t="s">
        <v>43</v>
      </c>
      <c r="C512" s="247">
        <v>1002</v>
      </c>
      <c r="D512" s="248">
        <v>10</v>
      </c>
      <c r="E512" s="248">
        <v>91</v>
      </c>
      <c r="F512" s="248">
        <v>0</v>
      </c>
      <c r="G512" s="248">
        <v>859</v>
      </c>
      <c r="H512" s="248">
        <v>411</v>
      </c>
      <c r="I512" s="248">
        <v>3279</v>
      </c>
      <c r="J512" s="248">
        <v>351</v>
      </c>
      <c r="K512" s="248">
        <v>938</v>
      </c>
      <c r="L512" s="248">
        <v>1210</v>
      </c>
      <c r="M512" s="248">
        <v>0</v>
      </c>
      <c r="N512" s="248">
        <v>17</v>
      </c>
      <c r="O512" s="248">
        <v>1024</v>
      </c>
      <c r="P512" s="248">
        <v>838</v>
      </c>
      <c r="Q512" s="248">
        <v>672</v>
      </c>
      <c r="R512" s="248">
        <v>2046</v>
      </c>
      <c r="S512" s="248">
        <v>478</v>
      </c>
      <c r="T512" s="248">
        <v>1752</v>
      </c>
      <c r="U512" s="248">
        <v>14978</v>
      </c>
      <c r="V512" s="249">
        <v>-102</v>
      </c>
      <c r="W512" s="250">
        <v>14876</v>
      </c>
      <c r="X512" s="248">
        <v>1103</v>
      </c>
      <c r="Y512" s="248">
        <v>4138</v>
      </c>
      <c r="Z512" s="249">
        <v>9737</v>
      </c>
      <c r="AA512" s="261">
        <v>4783</v>
      </c>
      <c r="AB512" s="271">
        <v>14131.396188779088</v>
      </c>
    </row>
    <row r="513" spans="1:28" ht="13.5" customHeight="1">
      <c r="A513" s="20">
        <v>41</v>
      </c>
      <c r="B513" s="21" t="s">
        <v>44</v>
      </c>
      <c r="C513" s="255">
        <v>134</v>
      </c>
      <c r="D513" s="256">
        <v>0</v>
      </c>
      <c r="E513" s="256">
        <v>54</v>
      </c>
      <c r="F513" s="256">
        <v>150</v>
      </c>
      <c r="G513" s="256">
        <v>343</v>
      </c>
      <c r="H513" s="256">
        <v>280</v>
      </c>
      <c r="I513" s="256">
        <v>870</v>
      </c>
      <c r="J513" s="256">
        <v>169</v>
      </c>
      <c r="K513" s="256">
        <v>269</v>
      </c>
      <c r="L513" s="256">
        <v>206</v>
      </c>
      <c r="M513" s="256">
        <v>0</v>
      </c>
      <c r="N513" s="256">
        <v>14</v>
      </c>
      <c r="O513" s="256">
        <v>329</v>
      </c>
      <c r="P513" s="256">
        <v>254</v>
      </c>
      <c r="Q513" s="256">
        <v>2869</v>
      </c>
      <c r="R513" s="256">
        <v>704</v>
      </c>
      <c r="S513" s="256">
        <v>449</v>
      </c>
      <c r="T513" s="256">
        <v>213</v>
      </c>
      <c r="U513" s="256">
        <v>7307</v>
      </c>
      <c r="V513" s="257">
        <v>-50</v>
      </c>
      <c r="W513" s="258">
        <v>7257</v>
      </c>
      <c r="X513" s="256">
        <v>188</v>
      </c>
      <c r="Y513" s="256">
        <v>1363</v>
      </c>
      <c r="Z513" s="257">
        <v>5756</v>
      </c>
      <c r="AA513" s="263">
        <v>5206</v>
      </c>
      <c r="AB513" s="273">
        <v>6997.5140056890996</v>
      </c>
    </row>
    <row r="514" spans="1:28" ht="15.75" customHeight="1">
      <c r="A514" s="111" t="s">
        <v>146</v>
      </c>
      <c r="B514" s="7" t="s">
        <v>152</v>
      </c>
      <c r="C514" s="247">
        <v>10738</v>
      </c>
      <c r="D514" s="248">
        <v>223</v>
      </c>
      <c r="E514" s="248">
        <v>2001</v>
      </c>
      <c r="F514" s="248">
        <v>3605</v>
      </c>
      <c r="G514" s="248">
        <v>19780</v>
      </c>
      <c r="H514" s="248">
        <v>23714</v>
      </c>
      <c r="I514" s="248">
        <v>58586</v>
      </c>
      <c r="J514" s="248">
        <v>21915</v>
      </c>
      <c r="K514" s="248">
        <v>16334</v>
      </c>
      <c r="L514" s="248">
        <v>16239</v>
      </c>
      <c r="M514" s="248">
        <v>4302</v>
      </c>
      <c r="N514" s="248">
        <v>5986</v>
      </c>
      <c r="O514" s="248">
        <v>42430</v>
      </c>
      <c r="P514" s="248">
        <v>23012</v>
      </c>
      <c r="Q514" s="248">
        <v>31025</v>
      </c>
      <c r="R514" s="248">
        <v>35017</v>
      </c>
      <c r="S514" s="248">
        <v>53006</v>
      </c>
      <c r="T514" s="248">
        <v>21980</v>
      </c>
      <c r="U514" s="248">
        <v>389893</v>
      </c>
      <c r="V514" s="249">
        <v>-2669</v>
      </c>
      <c r="W514" s="250">
        <v>387224</v>
      </c>
      <c r="X514" s="248">
        <v>12962</v>
      </c>
      <c r="Y514" s="248">
        <v>81971</v>
      </c>
      <c r="Z514" s="249">
        <v>294960</v>
      </c>
      <c r="AA514" s="261">
        <v>4956</v>
      </c>
      <c r="AB514" s="271">
        <v>373164.94815245585</v>
      </c>
    </row>
    <row r="515" spans="1:28" ht="15.75" customHeight="1">
      <c r="A515" s="112" t="s">
        <v>147</v>
      </c>
      <c r="B515" s="17" t="s">
        <v>153</v>
      </c>
      <c r="C515" s="251">
        <v>3561</v>
      </c>
      <c r="D515" s="252">
        <v>18</v>
      </c>
      <c r="E515" s="252">
        <v>1751</v>
      </c>
      <c r="F515" s="252">
        <v>2012</v>
      </c>
      <c r="G515" s="252">
        <v>113870</v>
      </c>
      <c r="H515" s="252">
        <v>93764</v>
      </c>
      <c r="I515" s="252">
        <v>136414</v>
      </c>
      <c r="J515" s="252">
        <v>169807</v>
      </c>
      <c r="K515" s="252">
        <v>57005</v>
      </c>
      <c r="L515" s="252">
        <v>37222</v>
      </c>
      <c r="M515" s="252">
        <v>67169</v>
      </c>
      <c r="N515" s="252">
        <v>40844</v>
      </c>
      <c r="O515" s="252">
        <v>237939</v>
      </c>
      <c r="P515" s="252">
        <v>153109</v>
      </c>
      <c r="Q515" s="252">
        <v>97717</v>
      </c>
      <c r="R515" s="252">
        <v>104217</v>
      </c>
      <c r="S515" s="252">
        <v>211767</v>
      </c>
      <c r="T515" s="252">
        <v>83422</v>
      </c>
      <c r="U515" s="252">
        <v>1611608</v>
      </c>
      <c r="V515" s="253">
        <v>-11038</v>
      </c>
      <c r="W515" s="254">
        <v>1600570</v>
      </c>
      <c r="X515" s="252">
        <v>5330</v>
      </c>
      <c r="Y515" s="252">
        <v>252296</v>
      </c>
      <c r="Z515" s="253">
        <v>1353982</v>
      </c>
      <c r="AA515" s="262">
        <v>5778</v>
      </c>
      <c r="AB515" s="272">
        <v>1560462.0633888303</v>
      </c>
    </row>
    <row r="516" spans="1:28" ht="15.75" customHeight="1">
      <c r="A516" s="112" t="s">
        <v>148</v>
      </c>
      <c r="B516" s="17" t="s">
        <v>154</v>
      </c>
      <c r="C516" s="251">
        <v>11261</v>
      </c>
      <c r="D516" s="252">
        <v>26</v>
      </c>
      <c r="E516" s="252">
        <v>1966</v>
      </c>
      <c r="F516" s="252">
        <v>1591</v>
      </c>
      <c r="G516" s="252">
        <v>45265</v>
      </c>
      <c r="H516" s="252">
        <v>19973</v>
      </c>
      <c r="I516" s="252">
        <v>67951</v>
      </c>
      <c r="J516" s="252">
        <v>50530</v>
      </c>
      <c r="K516" s="252">
        <v>26229</v>
      </c>
      <c r="L516" s="252">
        <v>13443</v>
      </c>
      <c r="M516" s="252">
        <v>11416</v>
      </c>
      <c r="N516" s="252">
        <v>8811</v>
      </c>
      <c r="O516" s="252">
        <v>85363</v>
      </c>
      <c r="P516" s="252">
        <v>38086</v>
      </c>
      <c r="Q516" s="252">
        <v>43446</v>
      </c>
      <c r="R516" s="252">
        <v>43057</v>
      </c>
      <c r="S516" s="252">
        <v>106219</v>
      </c>
      <c r="T516" s="252">
        <v>31735</v>
      </c>
      <c r="U516" s="252">
        <v>606368</v>
      </c>
      <c r="V516" s="253">
        <v>-4152</v>
      </c>
      <c r="W516" s="254">
        <v>602216</v>
      </c>
      <c r="X516" s="252">
        <v>13253</v>
      </c>
      <c r="Y516" s="252">
        <v>114807</v>
      </c>
      <c r="Z516" s="253">
        <v>478308</v>
      </c>
      <c r="AA516" s="262">
        <v>4916</v>
      </c>
      <c r="AB516" s="272">
        <v>584203.17779427394</v>
      </c>
    </row>
    <row r="517" spans="1:28" ht="15.75" customHeight="1">
      <c r="A517" s="112" t="s">
        <v>149</v>
      </c>
      <c r="B517" s="17" t="s">
        <v>155</v>
      </c>
      <c r="C517" s="251">
        <v>284</v>
      </c>
      <c r="D517" s="252">
        <v>52</v>
      </c>
      <c r="E517" s="252">
        <v>1636</v>
      </c>
      <c r="F517" s="252">
        <v>601</v>
      </c>
      <c r="G517" s="252">
        <v>14350</v>
      </c>
      <c r="H517" s="252">
        <v>32966</v>
      </c>
      <c r="I517" s="252">
        <v>69966</v>
      </c>
      <c r="J517" s="252">
        <v>111726</v>
      </c>
      <c r="K517" s="252">
        <v>73194</v>
      </c>
      <c r="L517" s="252">
        <v>32485</v>
      </c>
      <c r="M517" s="252">
        <v>102050</v>
      </c>
      <c r="N517" s="252">
        <v>89250</v>
      </c>
      <c r="O517" s="252">
        <v>145191</v>
      </c>
      <c r="P517" s="252">
        <v>177130</v>
      </c>
      <c r="Q517" s="252">
        <v>196788</v>
      </c>
      <c r="R517" s="252">
        <v>41938</v>
      </c>
      <c r="S517" s="252">
        <v>122286</v>
      </c>
      <c r="T517" s="252">
        <v>52728</v>
      </c>
      <c r="U517" s="252">
        <v>1264621</v>
      </c>
      <c r="V517" s="253">
        <v>-8660</v>
      </c>
      <c r="W517" s="254">
        <v>1255961</v>
      </c>
      <c r="X517" s="252">
        <v>1972</v>
      </c>
      <c r="Y517" s="252">
        <v>84917</v>
      </c>
      <c r="Z517" s="253">
        <v>1177732</v>
      </c>
      <c r="AA517" s="262">
        <v>6478</v>
      </c>
      <c r="AB517" s="272">
        <v>1226153.2117377874</v>
      </c>
    </row>
    <row r="518" spans="1:28" ht="15.75" customHeight="1">
      <c r="A518" s="112" t="s">
        <v>150</v>
      </c>
      <c r="B518" s="17" t="s">
        <v>156</v>
      </c>
      <c r="C518" s="251">
        <v>6639</v>
      </c>
      <c r="D518" s="252">
        <v>65</v>
      </c>
      <c r="E518" s="252">
        <v>592</v>
      </c>
      <c r="F518" s="252">
        <v>390</v>
      </c>
      <c r="G518" s="252">
        <v>8291</v>
      </c>
      <c r="H518" s="252">
        <v>7315</v>
      </c>
      <c r="I518" s="252">
        <v>30441</v>
      </c>
      <c r="J518" s="252">
        <v>17692</v>
      </c>
      <c r="K518" s="252">
        <v>7674</v>
      </c>
      <c r="L518" s="252">
        <v>5199</v>
      </c>
      <c r="M518" s="252">
        <v>2174</v>
      </c>
      <c r="N518" s="252">
        <v>2634</v>
      </c>
      <c r="O518" s="252">
        <v>17313</v>
      </c>
      <c r="P518" s="252">
        <v>12711</v>
      </c>
      <c r="Q518" s="252">
        <v>26203</v>
      </c>
      <c r="R518" s="252">
        <v>10444</v>
      </c>
      <c r="S518" s="252">
        <v>20607</v>
      </c>
      <c r="T518" s="252">
        <v>6957</v>
      </c>
      <c r="U518" s="252">
        <v>183341</v>
      </c>
      <c r="V518" s="253">
        <v>-1255</v>
      </c>
      <c r="W518" s="254">
        <v>182086</v>
      </c>
      <c r="X518" s="252">
        <v>7296</v>
      </c>
      <c r="Y518" s="252">
        <v>39122</v>
      </c>
      <c r="Z518" s="253">
        <v>136923</v>
      </c>
      <c r="AA518" s="262">
        <v>5681</v>
      </c>
      <c r="AB518" s="272">
        <v>175079.15978334149</v>
      </c>
    </row>
    <row r="519" spans="1:28" ht="15.75" customHeight="1">
      <c r="A519" s="113" t="s">
        <v>151</v>
      </c>
      <c r="B519" s="105" t="s">
        <v>157</v>
      </c>
      <c r="C519" s="255">
        <v>5123</v>
      </c>
      <c r="D519" s="256">
        <v>35</v>
      </c>
      <c r="E519" s="256">
        <v>683</v>
      </c>
      <c r="F519" s="256">
        <v>480</v>
      </c>
      <c r="G519" s="256">
        <v>5157</v>
      </c>
      <c r="H519" s="256">
        <v>8487</v>
      </c>
      <c r="I519" s="256">
        <v>24989</v>
      </c>
      <c r="J519" s="256">
        <v>11987</v>
      </c>
      <c r="K519" s="256">
        <v>11192</v>
      </c>
      <c r="L519" s="256">
        <v>7183</v>
      </c>
      <c r="M519" s="256">
        <v>1612</v>
      </c>
      <c r="N519" s="256">
        <v>2685</v>
      </c>
      <c r="O519" s="256">
        <v>19029</v>
      </c>
      <c r="P519" s="256">
        <v>15468</v>
      </c>
      <c r="Q519" s="256">
        <v>23508</v>
      </c>
      <c r="R519" s="256">
        <v>12003</v>
      </c>
      <c r="S519" s="256">
        <v>15114</v>
      </c>
      <c r="T519" s="256">
        <v>9305</v>
      </c>
      <c r="U519" s="256">
        <v>174040</v>
      </c>
      <c r="V519" s="257">
        <v>-1191</v>
      </c>
      <c r="W519" s="258">
        <v>172849</v>
      </c>
      <c r="X519" s="256">
        <v>5841</v>
      </c>
      <c r="Y519" s="256">
        <v>30626</v>
      </c>
      <c r="Z519" s="257">
        <v>137573</v>
      </c>
      <c r="AA519" s="263">
        <v>5933</v>
      </c>
      <c r="AB519" s="273">
        <v>166003.38425689802</v>
      </c>
    </row>
    <row r="520" spans="1:28" ht="15.75" customHeight="1">
      <c r="A520" s="222" t="s">
        <v>293</v>
      </c>
      <c r="B520" s="25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</row>
    <row r="521" spans="1:28" ht="15.75" customHeight="1">
      <c r="A521" s="222" t="s">
        <v>292</v>
      </c>
    </row>
    <row r="522" spans="1:28" ht="13.5" customHeight="1">
      <c r="A522" s="55">
        <f>A470+1</f>
        <v>3</v>
      </c>
      <c r="B522" s="50" t="str">
        <f>IF(A522&lt;22,"令和"&amp;A522&amp;"年度","平成"&amp;A522&amp;"年度")</f>
        <v>令和3年度</v>
      </c>
      <c r="C522" s="56" t="str">
        <f>C$2</f>
        <v>経済活動別市町村内総生産（百万円）</v>
      </c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1"/>
      <c r="Y522" s="2"/>
      <c r="Z522" s="57"/>
      <c r="AA522" s="57"/>
      <c r="AB522" s="57"/>
    </row>
    <row r="523" spans="1:28" ht="45" customHeight="1">
      <c r="A523" s="186"/>
      <c r="B523" s="76"/>
      <c r="C523" s="77" t="s">
        <v>51</v>
      </c>
      <c r="D523" s="77" t="s">
        <v>52</v>
      </c>
      <c r="E523" s="77" t="s">
        <v>53</v>
      </c>
      <c r="F523" s="77" t="s">
        <v>54</v>
      </c>
      <c r="G523" s="77" t="s">
        <v>55</v>
      </c>
      <c r="H523" s="77" t="s">
        <v>56</v>
      </c>
      <c r="I523" s="77" t="s">
        <v>57</v>
      </c>
      <c r="J523" s="77" t="s">
        <v>58</v>
      </c>
      <c r="K523" s="77" t="s">
        <v>59</v>
      </c>
      <c r="L523" s="77" t="s">
        <v>60</v>
      </c>
      <c r="M523" s="77" t="s">
        <v>61</v>
      </c>
      <c r="N523" s="77" t="s">
        <v>62</v>
      </c>
      <c r="O523" s="77" t="s">
        <v>63</v>
      </c>
      <c r="P523" s="77" t="s">
        <v>64</v>
      </c>
      <c r="Q523" s="77" t="s">
        <v>65</v>
      </c>
      <c r="R523" s="77" t="s">
        <v>66</v>
      </c>
      <c r="S523" s="77" t="s">
        <v>67</v>
      </c>
      <c r="T523" s="77" t="s">
        <v>68</v>
      </c>
      <c r="U523" s="77" t="s">
        <v>70</v>
      </c>
      <c r="V523" s="78" t="s">
        <v>69</v>
      </c>
      <c r="W523" s="79" t="s">
        <v>71</v>
      </c>
      <c r="X523" s="77" t="s">
        <v>72</v>
      </c>
      <c r="Y523" s="77" t="s">
        <v>73</v>
      </c>
      <c r="Z523" s="77" t="s">
        <v>74</v>
      </c>
      <c r="AA523" s="259" t="s">
        <v>277</v>
      </c>
      <c r="AB523" s="269" t="s">
        <v>278</v>
      </c>
    </row>
    <row r="524" spans="1:28" ht="13.5" customHeight="1">
      <c r="A524" s="153" t="s">
        <v>160</v>
      </c>
      <c r="B524" s="22" t="s">
        <v>0</v>
      </c>
      <c r="C524" s="243">
        <v>45040</v>
      </c>
      <c r="D524" s="244">
        <v>425</v>
      </c>
      <c r="E524" s="244">
        <v>8206</v>
      </c>
      <c r="F524" s="244">
        <v>8756</v>
      </c>
      <c r="G524" s="244">
        <v>184490</v>
      </c>
      <c r="H524" s="244">
        <v>182319</v>
      </c>
      <c r="I524" s="244">
        <v>466468</v>
      </c>
      <c r="J524" s="244">
        <v>403487</v>
      </c>
      <c r="K524" s="244">
        <v>200729</v>
      </c>
      <c r="L524" s="244">
        <v>109883</v>
      </c>
      <c r="M524" s="244">
        <v>175901</v>
      </c>
      <c r="N524" s="244">
        <v>155639</v>
      </c>
      <c r="O524" s="244">
        <v>568910</v>
      </c>
      <c r="P524" s="244">
        <v>460138</v>
      </c>
      <c r="Q524" s="244">
        <v>426510</v>
      </c>
      <c r="R524" s="244">
        <v>255224</v>
      </c>
      <c r="S524" s="244">
        <v>546375</v>
      </c>
      <c r="T524" s="244">
        <v>229202</v>
      </c>
      <c r="U524" s="244">
        <v>4427702</v>
      </c>
      <c r="V524" s="245">
        <v>-35603</v>
      </c>
      <c r="W524" s="246">
        <v>4392099</v>
      </c>
      <c r="X524" s="244">
        <v>53671</v>
      </c>
      <c r="Y524" s="244">
        <v>659714</v>
      </c>
      <c r="Z524" s="245">
        <v>3714317</v>
      </c>
      <c r="AA524" s="260">
        <v>5911</v>
      </c>
      <c r="AB524" s="270">
        <v>4250848</v>
      </c>
    </row>
    <row r="525" spans="1:28" ht="13.5" customHeight="1">
      <c r="A525" s="16" t="s">
        <v>1</v>
      </c>
      <c r="B525" s="17" t="s">
        <v>2</v>
      </c>
      <c r="C525" s="247">
        <v>317</v>
      </c>
      <c r="D525" s="248">
        <v>53</v>
      </c>
      <c r="E525" s="248">
        <v>1825</v>
      </c>
      <c r="F525" s="248">
        <v>606</v>
      </c>
      <c r="G525" s="248">
        <v>13238</v>
      </c>
      <c r="H525" s="248">
        <v>33674</v>
      </c>
      <c r="I525" s="248">
        <v>96506</v>
      </c>
      <c r="J525" s="248">
        <v>118595</v>
      </c>
      <c r="K525" s="248">
        <v>77875</v>
      </c>
      <c r="L525" s="248">
        <v>31453</v>
      </c>
      <c r="M525" s="248">
        <v>96178</v>
      </c>
      <c r="N525" s="248">
        <v>92379</v>
      </c>
      <c r="O525" s="248">
        <v>151492</v>
      </c>
      <c r="P525" s="248">
        <v>195019</v>
      </c>
      <c r="Q525" s="248">
        <v>201363</v>
      </c>
      <c r="R525" s="248">
        <v>43424</v>
      </c>
      <c r="S525" s="248">
        <v>128104</v>
      </c>
      <c r="T525" s="248">
        <v>58118</v>
      </c>
      <c r="U525" s="248">
        <v>1340219</v>
      </c>
      <c r="V525" s="249">
        <v>-10772</v>
      </c>
      <c r="W525" s="250">
        <v>1329447</v>
      </c>
      <c r="X525" s="248">
        <v>2195</v>
      </c>
      <c r="Y525" s="248">
        <v>110350</v>
      </c>
      <c r="Z525" s="249">
        <v>1227674</v>
      </c>
      <c r="AA525" s="261">
        <v>6755</v>
      </c>
      <c r="AB525" s="271">
        <v>1291097.6893290135</v>
      </c>
    </row>
    <row r="526" spans="1:28" ht="13.5" customHeight="1">
      <c r="A526" s="18" t="s">
        <v>3</v>
      </c>
      <c r="B526" s="19" t="s">
        <v>4</v>
      </c>
      <c r="C526" s="251">
        <v>54</v>
      </c>
      <c r="D526" s="252">
        <v>0</v>
      </c>
      <c r="E526" s="252">
        <v>123</v>
      </c>
      <c r="F526" s="252">
        <v>545</v>
      </c>
      <c r="G526" s="252">
        <v>3971</v>
      </c>
      <c r="H526" s="252">
        <v>8261</v>
      </c>
      <c r="I526" s="252">
        <v>25491</v>
      </c>
      <c r="J526" s="252">
        <v>23741</v>
      </c>
      <c r="K526" s="252">
        <v>4916</v>
      </c>
      <c r="L526" s="252">
        <v>4429</v>
      </c>
      <c r="M526" s="252">
        <v>13225</v>
      </c>
      <c r="N526" s="252">
        <v>4979</v>
      </c>
      <c r="O526" s="252">
        <v>39301</v>
      </c>
      <c r="P526" s="252">
        <v>25479</v>
      </c>
      <c r="Q526" s="252">
        <v>9524</v>
      </c>
      <c r="R526" s="252">
        <v>12873</v>
      </c>
      <c r="S526" s="252">
        <v>21845</v>
      </c>
      <c r="T526" s="252">
        <v>12785</v>
      </c>
      <c r="U526" s="252">
        <v>211542</v>
      </c>
      <c r="V526" s="253">
        <v>-1701</v>
      </c>
      <c r="W526" s="254">
        <v>209841</v>
      </c>
      <c r="X526" s="252">
        <v>177</v>
      </c>
      <c r="Y526" s="252">
        <v>30007</v>
      </c>
      <c r="Z526" s="253">
        <v>181358</v>
      </c>
      <c r="AA526" s="262">
        <v>5549</v>
      </c>
      <c r="AB526" s="272">
        <v>202714.70299175289</v>
      </c>
    </row>
    <row r="527" spans="1:28" ht="13.5" customHeight="1">
      <c r="A527" s="18" t="s">
        <v>5</v>
      </c>
      <c r="B527" s="19" t="s">
        <v>6</v>
      </c>
      <c r="C527" s="251">
        <v>5134</v>
      </c>
      <c r="D527" s="252">
        <v>25</v>
      </c>
      <c r="E527" s="252">
        <v>517</v>
      </c>
      <c r="F527" s="252">
        <v>333</v>
      </c>
      <c r="G527" s="252">
        <v>4128</v>
      </c>
      <c r="H527" s="252">
        <v>7325</v>
      </c>
      <c r="I527" s="252">
        <v>42794</v>
      </c>
      <c r="J527" s="252">
        <v>11945</v>
      </c>
      <c r="K527" s="252">
        <v>10676</v>
      </c>
      <c r="L527" s="252">
        <v>5974</v>
      </c>
      <c r="M527" s="252">
        <v>1447</v>
      </c>
      <c r="N527" s="252">
        <v>2643</v>
      </c>
      <c r="O527" s="252">
        <v>18278</v>
      </c>
      <c r="P527" s="252">
        <v>15151</v>
      </c>
      <c r="Q527" s="252">
        <v>20432</v>
      </c>
      <c r="R527" s="252">
        <v>9472</v>
      </c>
      <c r="S527" s="252">
        <v>14608</v>
      </c>
      <c r="T527" s="252">
        <v>8621</v>
      </c>
      <c r="U527" s="252">
        <v>179503</v>
      </c>
      <c r="V527" s="253">
        <v>-1444</v>
      </c>
      <c r="W527" s="254">
        <v>178059</v>
      </c>
      <c r="X527" s="252">
        <v>5676</v>
      </c>
      <c r="Y527" s="252">
        <v>47255</v>
      </c>
      <c r="Z527" s="253">
        <v>126572</v>
      </c>
      <c r="AA527" s="262">
        <v>7141</v>
      </c>
      <c r="AB527" s="272">
        <v>170268.25347195682</v>
      </c>
    </row>
    <row r="528" spans="1:28" ht="13.5" customHeight="1">
      <c r="A528" s="18" t="s">
        <v>7</v>
      </c>
      <c r="B528" s="19" t="s">
        <v>8</v>
      </c>
      <c r="C528" s="251">
        <v>16</v>
      </c>
      <c r="D528" s="252">
        <v>3</v>
      </c>
      <c r="E528" s="252">
        <v>173</v>
      </c>
      <c r="F528" s="252">
        <v>151</v>
      </c>
      <c r="G528" s="252">
        <v>20110</v>
      </c>
      <c r="H528" s="252">
        <v>16314</v>
      </c>
      <c r="I528" s="252">
        <v>22393</v>
      </c>
      <c r="J528" s="252">
        <v>76537</v>
      </c>
      <c r="K528" s="252">
        <v>23191</v>
      </c>
      <c r="L528" s="252">
        <v>5896</v>
      </c>
      <c r="M528" s="252">
        <v>27727</v>
      </c>
      <c r="N528" s="252">
        <v>13041</v>
      </c>
      <c r="O528" s="252">
        <v>48531</v>
      </c>
      <c r="P528" s="252">
        <v>54692</v>
      </c>
      <c r="Q528" s="252">
        <v>14265</v>
      </c>
      <c r="R528" s="252">
        <v>19815</v>
      </c>
      <c r="S528" s="252">
        <v>43576</v>
      </c>
      <c r="T528" s="252">
        <v>18745</v>
      </c>
      <c r="U528" s="252">
        <v>405176</v>
      </c>
      <c r="V528" s="253">
        <v>-3258</v>
      </c>
      <c r="W528" s="254">
        <v>401918</v>
      </c>
      <c r="X528" s="252">
        <v>192</v>
      </c>
      <c r="Y528" s="252">
        <v>42654</v>
      </c>
      <c r="Z528" s="253">
        <v>362330</v>
      </c>
      <c r="AA528" s="262">
        <v>6568</v>
      </c>
      <c r="AB528" s="272">
        <v>389649.57869696734</v>
      </c>
    </row>
    <row r="529" spans="1:28" ht="13.5" customHeight="1">
      <c r="A529" s="16" t="s">
        <v>9</v>
      </c>
      <c r="B529" s="17" t="s">
        <v>10</v>
      </c>
      <c r="C529" s="251">
        <v>2441</v>
      </c>
      <c r="D529" s="252">
        <v>78</v>
      </c>
      <c r="E529" s="252">
        <v>403</v>
      </c>
      <c r="F529" s="252">
        <v>1909</v>
      </c>
      <c r="G529" s="252">
        <v>7120</v>
      </c>
      <c r="H529" s="252">
        <v>7918</v>
      </c>
      <c r="I529" s="252">
        <v>28953</v>
      </c>
      <c r="J529" s="252">
        <v>15572</v>
      </c>
      <c r="K529" s="252">
        <v>7509</v>
      </c>
      <c r="L529" s="252">
        <v>6607</v>
      </c>
      <c r="M529" s="252">
        <v>2836</v>
      </c>
      <c r="N529" s="252">
        <v>4508</v>
      </c>
      <c r="O529" s="252">
        <v>22974</v>
      </c>
      <c r="P529" s="252">
        <v>17442</v>
      </c>
      <c r="Q529" s="252">
        <v>14482</v>
      </c>
      <c r="R529" s="252">
        <v>15925</v>
      </c>
      <c r="S529" s="252">
        <v>33771</v>
      </c>
      <c r="T529" s="252">
        <v>9529</v>
      </c>
      <c r="U529" s="252">
        <v>199977</v>
      </c>
      <c r="V529" s="253">
        <v>-1608</v>
      </c>
      <c r="W529" s="254">
        <v>198369</v>
      </c>
      <c r="X529" s="252">
        <v>2922</v>
      </c>
      <c r="Y529" s="252">
        <v>37982</v>
      </c>
      <c r="Z529" s="253">
        <v>159073</v>
      </c>
      <c r="AA529" s="262">
        <v>5607</v>
      </c>
      <c r="AB529" s="272">
        <v>191010.8620576656</v>
      </c>
    </row>
    <row r="530" spans="1:28" ht="13.5" customHeight="1">
      <c r="A530" s="18" t="s">
        <v>11</v>
      </c>
      <c r="B530" s="19" t="s">
        <v>12</v>
      </c>
      <c r="C530" s="251">
        <v>3294</v>
      </c>
      <c r="D530" s="252">
        <v>0</v>
      </c>
      <c r="E530" s="252">
        <v>367</v>
      </c>
      <c r="F530" s="252">
        <v>1063</v>
      </c>
      <c r="G530" s="252">
        <v>20666</v>
      </c>
      <c r="H530" s="252">
        <v>3786</v>
      </c>
      <c r="I530" s="252">
        <v>13750</v>
      </c>
      <c r="J530" s="252">
        <v>11063</v>
      </c>
      <c r="K530" s="252">
        <v>9488</v>
      </c>
      <c r="L530" s="252">
        <v>3199</v>
      </c>
      <c r="M530" s="252">
        <v>752</v>
      </c>
      <c r="N530" s="252">
        <v>2203</v>
      </c>
      <c r="O530" s="252">
        <v>19582</v>
      </c>
      <c r="P530" s="252">
        <v>4927</v>
      </c>
      <c r="Q530" s="252">
        <v>8434</v>
      </c>
      <c r="R530" s="252">
        <v>11024</v>
      </c>
      <c r="S530" s="252">
        <v>19628</v>
      </c>
      <c r="T530" s="252">
        <v>7997</v>
      </c>
      <c r="U530" s="252">
        <v>141223</v>
      </c>
      <c r="V530" s="253">
        <v>-1135</v>
      </c>
      <c r="W530" s="254">
        <v>140088</v>
      </c>
      <c r="X530" s="252">
        <v>3661</v>
      </c>
      <c r="Y530" s="252">
        <v>35479</v>
      </c>
      <c r="Z530" s="253">
        <v>102083</v>
      </c>
      <c r="AA530" s="262">
        <v>4749</v>
      </c>
      <c r="AB530" s="272">
        <v>135910.43146407657</v>
      </c>
    </row>
    <row r="531" spans="1:28" ht="13.5" customHeight="1">
      <c r="A531" s="18" t="s">
        <v>13</v>
      </c>
      <c r="B531" s="19" t="s">
        <v>14</v>
      </c>
      <c r="C531" s="251">
        <v>886</v>
      </c>
      <c r="D531" s="252">
        <v>5</v>
      </c>
      <c r="E531" s="252">
        <v>135</v>
      </c>
      <c r="F531" s="252">
        <v>303</v>
      </c>
      <c r="G531" s="252">
        <v>12271</v>
      </c>
      <c r="H531" s="252">
        <v>12081</v>
      </c>
      <c r="I531" s="252">
        <v>34167</v>
      </c>
      <c r="J531" s="252">
        <v>23597</v>
      </c>
      <c r="K531" s="252">
        <v>9634</v>
      </c>
      <c r="L531" s="252">
        <v>8128</v>
      </c>
      <c r="M531" s="252">
        <v>3097</v>
      </c>
      <c r="N531" s="252">
        <v>11264</v>
      </c>
      <c r="O531" s="252">
        <v>53869</v>
      </c>
      <c r="P531" s="252">
        <v>38163</v>
      </c>
      <c r="Q531" s="252">
        <v>29340</v>
      </c>
      <c r="R531" s="252">
        <v>20249</v>
      </c>
      <c r="S531" s="252">
        <v>57532</v>
      </c>
      <c r="T531" s="252">
        <v>19603</v>
      </c>
      <c r="U531" s="252">
        <v>334324</v>
      </c>
      <c r="V531" s="253">
        <v>-2688</v>
      </c>
      <c r="W531" s="254">
        <v>331636</v>
      </c>
      <c r="X531" s="252">
        <v>1026</v>
      </c>
      <c r="Y531" s="252">
        <v>46741</v>
      </c>
      <c r="Z531" s="253">
        <v>286557</v>
      </c>
      <c r="AA531" s="262">
        <v>5855</v>
      </c>
      <c r="AB531" s="272">
        <v>320819.879651408</v>
      </c>
    </row>
    <row r="532" spans="1:28" ht="13.5" customHeight="1">
      <c r="A532" s="18" t="s">
        <v>15</v>
      </c>
      <c r="B532" s="19" t="s">
        <v>45</v>
      </c>
      <c r="C532" s="251">
        <v>969</v>
      </c>
      <c r="D532" s="252">
        <v>0</v>
      </c>
      <c r="E532" s="252">
        <v>240</v>
      </c>
      <c r="F532" s="252">
        <v>0</v>
      </c>
      <c r="G532" s="252">
        <v>5869</v>
      </c>
      <c r="H532" s="252">
        <v>4468</v>
      </c>
      <c r="I532" s="252">
        <v>12535</v>
      </c>
      <c r="J532" s="252">
        <v>15629</v>
      </c>
      <c r="K532" s="252">
        <v>7616</v>
      </c>
      <c r="L532" s="252">
        <v>3787</v>
      </c>
      <c r="M532" s="252">
        <v>7868</v>
      </c>
      <c r="N532" s="252">
        <v>2400</v>
      </c>
      <c r="O532" s="252">
        <v>22392</v>
      </c>
      <c r="P532" s="252">
        <v>19502</v>
      </c>
      <c r="Q532" s="252">
        <v>6924</v>
      </c>
      <c r="R532" s="252">
        <v>8252</v>
      </c>
      <c r="S532" s="252">
        <v>31568</v>
      </c>
      <c r="T532" s="252">
        <v>7588</v>
      </c>
      <c r="U532" s="252">
        <v>157607</v>
      </c>
      <c r="V532" s="253">
        <v>-1267</v>
      </c>
      <c r="W532" s="254">
        <v>156340</v>
      </c>
      <c r="X532" s="252">
        <v>1209</v>
      </c>
      <c r="Y532" s="252">
        <v>18404</v>
      </c>
      <c r="Z532" s="253">
        <v>137994</v>
      </c>
      <c r="AA532" s="262">
        <v>5367</v>
      </c>
      <c r="AB532" s="272">
        <v>151448.18697012731</v>
      </c>
    </row>
    <row r="533" spans="1:28" ht="13.5" customHeight="1">
      <c r="A533" s="18" t="s">
        <v>16</v>
      </c>
      <c r="B533" s="19" t="s">
        <v>46</v>
      </c>
      <c r="C533" s="251">
        <v>2141</v>
      </c>
      <c r="D533" s="252">
        <v>3</v>
      </c>
      <c r="E533" s="252">
        <v>787</v>
      </c>
      <c r="F533" s="252">
        <v>515</v>
      </c>
      <c r="G533" s="252">
        <v>26648</v>
      </c>
      <c r="H533" s="252">
        <v>23661</v>
      </c>
      <c r="I533" s="252">
        <v>31445</v>
      </c>
      <c r="J533" s="252">
        <v>22452</v>
      </c>
      <c r="K533" s="252">
        <v>10742</v>
      </c>
      <c r="L533" s="252">
        <v>5102</v>
      </c>
      <c r="M533" s="252">
        <v>5606</v>
      </c>
      <c r="N533" s="252">
        <v>5464</v>
      </c>
      <c r="O533" s="252">
        <v>42449</v>
      </c>
      <c r="P533" s="252">
        <v>25759</v>
      </c>
      <c r="Q533" s="252">
        <v>22188</v>
      </c>
      <c r="R533" s="252">
        <v>16846</v>
      </c>
      <c r="S533" s="252">
        <v>36697</v>
      </c>
      <c r="T533" s="252">
        <v>14944</v>
      </c>
      <c r="U533" s="252">
        <v>293449</v>
      </c>
      <c r="V533" s="253">
        <v>-2360</v>
      </c>
      <c r="W533" s="254">
        <v>291089</v>
      </c>
      <c r="X533" s="252">
        <v>2931</v>
      </c>
      <c r="Y533" s="252">
        <v>58608</v>
      </c>
      <c r="Z533" s="253">
        <v>231910</v>
      </c>
      <c r="AA533" s="262">
        <v>5944</v>
      </c>
      <c r="AB533" s="272">
        <v>283223.03692735266</v>
      </c>
    </row>
    <row r="534" spans="1:28" ht="13.5" customHeight="1">
      <c r="A534" s="18">
        <v>10</v>
      </c>
      <c r="B534" s="19" t="s">
        <v>47</v>
      </c>
      <c r="C534" s="251">
        <v>7415</v>
      </c>
      <c r="D534" s="252">
        <v>66</v>
      </c>
      <c r="E534" s="252">
        <v>504</v>
      </c>
      <c r="F534" s="252">
        <v>394</v>
      </c>
      <c r="G534" s="252">
        <v>7585</v>
      </c>
      <c r="H534" s="252">
        <v>7580</v>
      </c>
      <c r="I534" s="252">
        <v>28616</v>
      </c>
      <c r="J534" s="252">
        <v>18126</v>
      </c>
      <c r="K534" s="252">
        <v>7771</v>
      </c>
      <c r="L534" s="252">
        <v>5563</v>
      </c>
      <c r="M534" s="252">
        <v>2139</v>
      </c>
      <c r="N534" s="252">
        <v>2748</v>
      </c>
      <c r="O534" s="252">
        <v>18221</v>
      </c>
      <c r="P534" s="252">
        <v>13948</v>
      </c>
      <c r="Q534" s="252">
        <v>25961</v>
      </c>
      <c r="R534" s="252">
        <v>10327</v>
      </c>
      <c r="S534" s="252">
        <v>20634</v>
      </c>
      <c r="T534" s="252">
        <v>7964</v>
      </c>
      <c r="U534" s="252">
        <v>185562</v>
      </c>
      <c r="V534" s="253">
        <v>-1492</v>
      </c>
      <c r="W534" s="254">
        <v>184070</v>
      </c>
      <c r="X534" s="252">
        <v>7985</v>
      </c>
      <c r="Y534" s="252">
        <v>36595</v>
      </c>
      <c r="Z534" s="253">
        <v>140982</v>
      </c>
      <c r="AA534" s="262">
        <v>5796</v>
      </c>
      <c r="AB534" s="272">
        <v>176621.12512859862</v>
      </c>
    </row>
    <row r="535" spans="1:28" ht="13.5" customHeight="1">
      <c r="A535" s="20">
        <v>11</v>
      </c>
      <c r="B535" s="21" t="s">
        <v>48</v>
      </c>
      <c r="C535" s="255">
        <v>2242</v>
      </c>
      <c r="D535" s="256">
        <v>8</v>
      </c>
      <c r="E535" s="256">
        <v>468</v>
      </c>
      <c r="F535" s="256">
        <v>151</v>
      </c>
      <c r="G535" s="256">
        <v>8762</v>
      </c>
      <c r="H535" s="256">
        <v>3948</v>
      </c>
      <c r="I535" s="256">
        <v>14204</v>
      </c>
      <c r="J535" s="256">
        <v>4138</v>
      </c>
      <c r="K535" s="256">
        <v>3562</v>
      </c>
      <c r="L535" s="256">
        <v>1148</v>
      </c>
      <c r="M535" s="256">
        <v>1593</v>
      </c>
      <c r="N535" s="256">
        <v>370</v>
      </c>
      <c r="O535" s="256">
        <v>13391</v>
      </c>
      <c r="P535" s="256">
        <v>5126</v>
      </c>
      <c r="Q535" s="256">
        <v>9296</v>
      </c>
      <c r="R535" s="256">
        <v>4715</v>
      </c>
      <c r="S535" s="256">
        <v>10553</v>
      </c>
      <c r="T535" s="256">
        <v>5332</v>
      </c>
      <c r="U535" s="256">
        <v>89007</v>
      </c>
      <c r="V535" s="257">
        <v>-716</v>
      </c>
      <c r="W535" s="258">
        <v>88291</v>
      </c>
      <c r="X535" s="256">
        <v>2718</v>
      </c>
      <c r="Y535" s="256">
        <v>23117</v>
      </c>
      <c r="Z535" s="257">
        <v>63172</v>
      </c>
      <c r="AA535" s="263">
        <v>4995</v>
      </c>
      <c r="AB535" s="273">
        <v>85445.449800050061</v>
      </c>
    </row>
    <row r="536" spans="1:28" ht="13.5" customHeight="1">
      <c r="A536" s="18">
        <v>12</v>
      </c>
      <c r="B536" s="19" t="s">
        <v>17</v>
      </c>
      <c r="C536" s="247">
        <v>1746</v>
      </c>
      <c r="D536" s="248">
        <v>80</v>
      </c>
      <c r="E536" s="248">
        <v>29</v>
      </c>
      <c r="F536" s="248">
        <v>30</v>
      </c>
      <c r="G536" s="248">
        <v>242</v>
      </c>
      <c r="H536" s="248">
        <v>594</v>
      </c>
      <c r="I536" s="248">
        <v>2144</v>
      </c>
      <c r="J536" s="248">
        <v>456</v>
      </c>
      <c r="K536" s="248">
        <v>142</v>
      </c>
      <c r="L536" s="248">
        <v>714</v>
      </c>
      <c r="M536" s="248">
        <v>0</v>
      </c>
      <c r="N536" s="248">
        <v>171</v>
      </c>
      <c r="O536" s="248">
        <v>1122</v>
      </c>
      <c r="P536" s="248">
        <v>89</v>
      </c>
      <c r="Q536" s="248">
        <v>1494</v>
      </c>
      <c r="R536" s="248">
        <v>880</v>
      </c>
      <c r="S536" s="248">
        <v>837</v>
      </c>
      <c r="T536" s="248">
        <v>662</v>
      </c>
      <c r="U536" s="248">
        <v>11432</v>
      </c>
      <c r="V536" s="249">
        <v>-92</v>
      </c>
      <c r="W536" s="250">
        <v>11340</v>
      </c>
      <c r="X536" s="248">
        <v>1855</v>
      </c>
      <c r="Y536" s="248">
        <v>2416</v>
      </c>
      <c r="Z536" s="249">
        <v>7161</v>
      </c>
      <c r="AA536" s="261">
        <v>3877</v>
      </c>
      <c r="AB536" s="271">
        <v>10917.577416763985</v>
      </c>
    </row>
    <row r="537" spans="1:28" ht="13.5" customHeight="1">
      <c r="A537" s="18">
        <v>13</v>
      </c>
      <c r="B537" s="19" t="s">
        <v>18</v>
      </c>
      <c r="C537" s="251">
        <v>1147</v>
      </c>
      <c r="D537" s="252">
        <v>10</v>
      </c>
      <c r="E537" s="252">
        <v>260</v>
      </c>
      <c r="F537" s="252">
        <v>0</v>
      </c>
      <c r="G537" s="252">
        <v>155</v>
      </c>
      <c r="H537" s="252">
        <v>308</v>
      </c>
      <c r="I537" s="252">
        <v>1758</v>
      </c>
      <c r="J537" s="252">
        <v>180</v>
      </c>
      <c r="K537" s="252">
        <v>379</v>
      </c>
      <c r="L537" s="252">
        <v>55</v>
      </c>
      <c r="M537" s="252">
        <v>0</v>
      </c>
      <c r="N537" s="252">
        <v>2</v>
      </c>
      <c r="O537" s="252">
        <v>802</v>
      </c>
      <c r="P537" s="252">
        <v>185</v>
      </c>
      <c r="Q537" s="252">
        <v>927</v>
      </c>
      <c r="R537" s="252">
        <v>665</v>
      </c>
      <c r="S537" s="252">
        <v>793</v>
      </c>
      <c r="T537" s="252">
        <v>377</v>
      </c>
      <c r="U537" s="252">
        <v>8003</v>
      </c>
      <c r="V537" s="253">
        <v>-65</v>
      </c>
      <c r="W537" s="254">
        <v>7938</v>
      </c>
      <c r="X537" s="252">
        <v>1417</v>
      </c>
      <c r="Y537" s="252">
        <v>1913</v>
      </c>
      <c r="Z537" s="253">
        <v>4673</v>
      </c>
      <c r="AA537" s="262">
        <v>4314</v>
      </c>
      <c r="AB537" s="272">
        <v>7604.4476642674736</v>
      </c>
    </row>
    <row r="538" spans="1:28" ht="13.5" customHeight="1">
      <c r="A538" s="18">
        <v>14</v>
      </c>
      <c r="B538" s="19" t="s">
        <v>19</v>
      </c>
      <c r="C538" s="251">
        <v>710</v>
      </c>
      <c r="D538" s="252">
        <v>8</v>
      </c>
      <c r="E538" s="252">
        <v>16</v>
      </c>
      <c r="F538" s="252">
        <v>0</v>
      </c>
      <c r="G538" s="252">
        <v>183</v>
      </c>
      <c r="H538" s="252">
        <v>39</v>
      </c>
      <c r="I538" s="252">
        <v>665</v>
      </c>
      <c r="J538" s="252">
        <v>101</v>
      </c>
      <c r="K538" s="252">
        <v>45</v>
      </c>
      <c r="L538" s="252">
        <v>103</v>
      </c>
      <c r="M538" s="252">
        <v>0</v>
      </c>
      <c r="N538" s="252">
        <v>5</v>
      </c>
      <c r="O538" s="252">
        <v>345</v>
      </c>
      <c r="P538" s="252">
        <v>1077</v>
      </c>
      <c r="Q538" s="252">
        <v>925</v>
      </c>
      <c r="R538" s="252">
        <v>468</v>
      </c>
      <c r="S538" s="252">
        <v>398</v>
      </c>
      <c r="T538" s="252">
        <v>265</v>
      </c>
      <c r="U538" s="252">
        <v>5353</v>
      </c>
      <c r="V538" s="253">
        <v>-43</v>
      </c>
      <c r="W538" s="254">
        <v>5310</v>
      </c>
      <c r="X538" s="252">
        <v>734</v>
      </c>
      <c r="Y538" s="252">
        <v>848</v>
      </c>
      <c r="Z538" s="253">
        <v>3771</v>
      </c>
      <c r="AA538" s="262">
        <v>4378</v>
      </c>
      <c r="AB538" s="272">
        <v>5119.0738608149977</v>
      </c>
    </row>
    <row r="539" spans="1:28" ht="13.5" customHeight="1">
      <c r="A539" s="18">
        <v>15</v>
      </c>
      <c r="B539" s="19" t="s">
        <v>20</v>
      </c>
      <c r="C539" s="251">
        <v>1370</v>
      </c>
      <c r="D539" s="252">
        <v>3</v>
      </c>
      <c r="E539" s="252">
        <v>60</v>
      </c>
      <c r="F539" s="252">
        <v>30</v>
      </c>
      <c r="G539" s="252">
        <v>1888</v>
      </c>
      <c r="H539" s="252">
        <v>783</v>
      </c>
      <c r="I539" s="252">
        <v>3470</v>
      </c>
      <c r="J539" s="252">
        <v>584</v>
      </c>
      <c r="K539" s="252">
        <v>458</v>
      </c>
      <c r="L539" s="252">
        <v>569</v>
      </c>
      <c r="M539" s="252">
        <v>6</v>
      </c>
      <c r="N539" s="252">
        <v>158</v>
      </c>
      <c r="O539" s="252">
        <v>2259</v>
      </c>
      <c r="P539" s="252">
        <v>941</v>
      </c>
      <c r="Q539" s="252">
        <v>1459</v>
      </c>
      <c r="R539" s="252">
        <v>1368</v>
      </c>
      <c r="S539" s="252">
        <v>2205</v>
      </c>
      <c r="T539" s="252">
        <v>1467</v>
      </c>
      <c r="U539" s="252">
        <v>19078</v>
      </c>
      <c r="V539" s="253">
        <v>-153</v>
      </c>
      <c r="W539" s="254">
        <v>18925</v>
      </c>
      <c r="X539" s="252">
        <v>1433</v>
      </c>
      <c r="Y539" s="252">
        <v>5388</v>
      </c>
      <c r="Z539" s="253">
        <v>12257</v>
      </c>
      <c r="AA539" s="262">
        <v>4031</v>
      </c>
      <c r="AB539" s="272">
        <v>18200.024587663702</v>
      </c>
    </row>
    <row r="540" spans="1:28" ht="13.5" customHeight="1">
      <c r="A540" s="18">
        <v>16</v>
      </c>
      <c r="B540" s="19" t="s">
        <v>21</v>
      </c>
      <c r="C540" s="251">
        <v>1036</v>
      </c>
      <c r="D540" s="252">
        <v>3</v>
      </c>
      <c r="E540" s="252">
        <v>299</v>
      </c>
      <c r="F540" s="252">
        <v>1333</v>
      </c>
      <c r="G540" s="252">
        <v>1673</v>
      </c>
      <c r="H540" s="252">
        <v>1649</v>
      </c>
      <c r="I540" s="252">
        <v>5868</v>
      </c>
      <c r="J540" s="252">
        <v>1682</v>
      </c>
      <c r="K540" s="252">
        <v>2097</v>
      </c>
      <c r="L540" s="252">
        <v>2135</v>
      </c>
      <c r="M540" s="252">
        <v>0</v>
      </c>
      <c r="N540" s="252">
        <v>604</v>
      </c>
      <c r="O540" s="252">
        <v>4225</v>
      </c>
      <c r="P540" s="252">
        <v>2639</v>
      </c>
      <c r="Q540" s="252">
        <v>2417</v>
      </c>
      <c r="R540" s="252">
        <v>2009</v>
      </c>
      <c r="S540" s="252">
        <v>4646</v>
      </c>
      <c r="T540" s="252">
        <v>5097</v>
      </c>
      <c r="U540" s="252">
        <v>39412</v>
      </c>
      <c r="V540" s="253">
        <v>-317</v>
      </c>
      <c r="W540" s="254">
        <v>39095</v>
      </c>
      <c r="X540" s="252">
        <v>1338</v>
      </c>
      <c r="Y540" s="252">
        <v>8874</v>
      </c>
      <c r="Z540" s="253">
        <v>29200</v>
      </c>
      <c r="AA540" s="262">
        <v>4387</v>
      </c>
      <c r="AB540" s="272">
        <v>37224.486397081564</v>
      </c>
    </row>
    <row r="541" spans="1:28" ht="13.5" customHeight="1">
      <c r="A541" s="18">
        <v>17</v>
      </c>
      <c r="B541" s="19" t="s">
        <v>22</v>
      </c>
      <c r="C541" s="251">
        <v>649</v>
      </c>
      <c r="D541" s="252">
        <v>20</v>
      </c>
      <c r="E541" s="252">
        <v>251</v>
      </c>
      <c r="F541" s="252">
        <v>151</v>
      </c>
      <c r="G541" s="252">
        <v>452</v>
      </c>
      <c r="H541" s="252">
        <v>704</v>
      </c>
      <c r="I541" s="252">
        <v>4359</v>
      </c>
      <c r="J541" s="252">
        <v>1491</v>
      </c>
      <c r="K541" s="252">
        <v>933</v>
      </c>
      <c r="L541" s="252">
        <v>6248</v>
      </c>
      <c r="M541" s="252">
        <v>74</v>
      </c>
      <c r="N541" s="252">
        <v>214</v>
      </c>
      <c r="O541" s="252">
        <v>5495</v>
      </c>
      <c r="P541" s="252">
        <v>1009</v>
      </c>
      <c r="Q541" s="252">
        <v>3330</v>
      </c>
      <c r="R541" s="252">
        <v>9827</v>
      </c>
      <c r="S541" s="252">
        <v>1906</v>
      </c>
      <c r="T541" s="252">
        <v>4015</v>
      </c>
      <c r="U541" s="252">
        <v>41128</v>
      </c>
      <c r="V541" s="253">
        <v>-331</v>
      </c>
      <c r="W541" s="254">
        <v>40797</v>
      </c>
      <c r="X541" s="252">
        <v>920</v>
      </c>
      <c r="Y541" s="252">
        <v>4962</v>
      </c>
      <c r="Z541" s="253">
        <v>35246</v>
      </c>
      <c r="AA541" s="262">
        <v>3978</v>
      </c>
      <c r="AB541" s="272">
        <v>38953.589322118372</v>
      </c>
    </row>
    <row r="542" spans="1:28" ht="13.5" customHeight="1">
      <c r="A542" s="18">
        <v>18</v>
      </c>
      <c r="B542" s="19" t="s">
        <v>23</v>
      </c>
      <c r="C542" s="251">
        <v>661</v>
      </c>
      <c r="D542" s="252">
        <v>10</v>
      </c>
      <c r="E542" s="252">
        <v>142</v>
      </c>
      <c r="F542" s="252">
        <v>0</v>
      </c>
      <c r="G542" s="252">
        <v>178</v>
      </c>
      <c r="H542" s="252">
        <v>807</v>
      </c>
      <c r="I542" s="252">
        <v>4698</v>
      </c>
      <c r="J542" s="252">
        <v>447</v>
      </c>
      <c r="K542" s="252">
        <v>1601</v>
      </c>
      <c r="L542" s="252">
        <v>121</v>
      </c>
      <c r="M542" s="252">
        <v>723</v>
      </c>
      <c r="N542" s="252">
        <v>11</v>
      </c>
      <c r="O542" s="252">
        <v>1901</v>
      </c>
      <c r="P542" s="252">
        <v>907</v>
      </c>
      <c r="Q542" s="252">
        <v>1475</v>
      </c>
      <c r="R542" s="252">
        <v>1292</v>
      </c>
      <c r="S542" s="252">
        <v>2120</v>
      </c>
      <c r="T542" s="252">
        <v>1139</v>
      </c>
      <c r="U542" s="252">
        <v>18233</v>
      </c>
      <c r="V542" s="253">
        <v>-147</v>
      </c>
      <c r="W542" s="254">
        <v>18086</v>
      </c>
      <c r="X542" s="252">
        <v>813</v>
      </c>
      <c r="Y542" s="252">
        <v>4876</v>
      </c>
      <c r="Z542" s="253">
        <v>12544</v>
      </c>
      <c r="AA542" s="262">
        <v>5610</v>
      </c>
      <c r="AB542" s="272">
        <v>17336.356329441664</v>
      </c>
    </row>
    <row r="543" spans="1:28" ht="13.5" customHeight="1">
      <c r="A543" s="18">
        <v>19</v>
      </c>
      <c r="B543" s="19" t="s">
        <v>24</v>
      </c>
      <c r="C543" s="251">
        <v>606</v>
      </c>
      <c r="D543" s="252">
        <v>0</v>
      </c>
      <c r="E543" s="252">
        <v>60</v>
      </c>
      <c r="F543" s="252">
        <v>91</v>
      </c>
      <c r="G543" s="252">
        <v>657</v>
      </c>
      <c r="H543" s="252">
        <v>8484</v>
      </c>
      <c r="I543" s="252">
        <v>7353</v>
      </c>
      <c r="J543" s="252">
        <v>1060</v>
      </c>
      <c r="K543" s="252">
        <v>2280</v>
      </c>
      <c r="L543" s="252">
        <v>534</v>
      </c>
      <c r="M543" s="252">
        <v>478</v>
      </c>
      <c r="N543" s="252">
        <v>354</v>
      </c>
      <c r="O543" s="252">
        <v>3663</v>
      </c>
      <c r="P543" s="252">
        <v>675</v>
      </c>
      <c r="Q543" s="252">
        <v>2099</v>
      </c>
      <c r="R543" s="252">
        <v>2121</v>
      </c>
      <c r="S543" s="252">
        <v>5413</v>
      </c>
      <c r="T543" s="252">
        <v>1526</v>
      </c>
      <c r="U543" s="252">
        <v>37454</v>
      </c>
      <c r="V543" s="253">
        <v>-301</v>
      </c>
      <c r="W543" s="254">
        <v>37153</v>
      </c>
      <c r="X543" s="252">
        <v>666</v>
      </c>
      <c r="Y543" s="252">
        <v>8101</v>
      </c>
      <c r="Z543" s="253">
        <v>28687</v>
      </c>
      <c r="AA543" s="262">
        <v>6192</v>
      </c>
      <c r="AB543" s="272">
        <v>36646.188820845506</v>
      </c>
    </row>
    <row r="544" spans="1:28" ht="13.5" customHeight="1">
      <c r="A544" s="20">
        <v>20</v>
      </c>
      <c r="B544" s="21" t="s">
        <v>25</v>
      </c>
      <c r="C544" s="255">
        <v>1775</v>
      </c>
      <c r="D544" s="256">
        <v>3</v>
      </c>
      <c r="E544" s="256">
        <v>80</v>
      </c>
      <c r="F544" s="256">
        <v>61</v>
      </c>
      <c r="G544" s="256">
        <v>694</v>
      </c>
      <c r="H544" s="256">
        <v>361</v>
      </c>
      <c r="I544" s="256">
        <v>3614</v>
      </c>
      <c r="J544" s="256">
        <v>655</v>
      </c>
      <c r="K544" s="256">
        <v>559</v>
      </c>
      <c r="L544" s="256">
        <v>311</v>
      </c>
      <c r="M544" s="256">
        <v>23</v>
      </c>
      <c r="N544" s="256">
        <v>19</v>
      </c>
      <c r="O544" s="256">
        <v>1174</v>
      </c>
      <c r="P544" s="256">
        <v>79</v>
      </c>
      <c r="Q544" s="256">
        <v>1481</v>
      </c>
      <c r="R544" s="256">
        <v>597</v>
      </c>
      <c r="S544" s="256">
        <v>1114</v>
      </c>
      <c r="T544" s="256">
        <v>845</v>
      </c>
      <c r="U544" s="256">
        <v>13445</v>
      </c>
      <c r="V544" s="257">
        <v>-109</v>
      </c>
      <c r="W544" s="258">
        <v>13336</v>
      </c>
      <c r="X544" s="256">
        <v>1858</v>
      </c>
      <c r="Y544" s="256">
        <v>4369</v>
      </c>
      <c r="Z544" s="257">
        <v>7218</v>
      </c>
      <c r="AA544" s="263">
        <v>4548</v>
      </c>
      <c r="AB544" s="273">
        <v>12826.838903206735</v>
      </c>
    </row>
    <row r="545" spans="1:28" ht="13.5" customHeight="1">
      <c r="A545" s="18">
        <v>21</v>
      </c>
      <c r="B545" s="19" t="s">
        <v>26</v>
      </c>
      <c r="C545" s="247">
        <v>896</v>
      </c>
      <c r="D545" s="248">
        <v>0</v>
      </c>
      <c r="E545" s="248">
        <v>92</v>
      </c>
      <c r="F545" s="248">
        <v>212</v>
      </c>
      <c r="G545" s="248">
        <v>4419</v>
      </c>
      <c r="H545" s="248">
        <v>3013</v>
      </c>
      <c r="I545" s="248">
        <v>11104</v>
      </c>
      <c r="J545" s="248">
        <v>3619</v>
      </c>
      <c r="K545" s="248">
        <v>737</v>
      </c>
      <c r="L545" s="248">
        <v>1592</v>
      </c>
      <c r="M545" s="248">
        <v>64</v>
      </c>
      <c r="N545" s="248">
        <v>963</v>
      </c>
      <c r="O545" s="248">
        <v>15756</v>
      </c>
      <c r="P545" s="248">
        <v>2153</v>
      </c>
      <c r="Q545" s="248">
        <v>3309</v>
      </c>
      <c r="R545" s="248">
        <v>4169</v>
      </c>
      <c r="S545" s="248">
        <v>6137</v>
      </c>
      <c r="T545" s="248">
        <v>5320</v>
      </c>
      <c r="U545" s="248">
        <v>63555</v>
      </c>
      <c r="V545" s="249">
        <v>-512</v>
      </c>
      <c r="W545" s="250">
        <v>63043</v>
      </c>
      <c r="X545" s="248">
        <v>988</v>
      </c>
      <c r="Y545" s="248">
        <v>15735</v>
      </c>
      <c r="Z545" s="249">
        <v>46832</v>
      </c>
      <c r="AA545" s="261">
        <v>4673</v>
      </c>
      <c r="AB545" s="271">
        <v>61038.777315393272</v>
      </c>
    </row>
    <row r="546" spans="1:28" ht="13.5" customHeight="1">
      <c r="A546" s="18">
        <v>22</v>
      </c>
      <c r="B546" s="19" t="s">
        <v>27</v>
      </c>
      <c r="C546" s="251">
        <v>27</v>
      </c>
      <c r="D546" s="252">
        <v>0</v>
      </c>
      <c r="E546" s="252">
        <v>5</v>
      </c>
      <c r="F546" s="252">
        <v>0</v>
      </c>
      <c r="G546" s="252">
        <v>1076</v>
      </c>
      <c r="H546" s="252">
        <v>947</v>
      </c>
      <c r="I546" s="252">
        <v>4848</v>
      </c>
      <c r="J546" s="252">
        <v>1638</v>
      </c>
      <c r="K546" s="252">
        <v>249</v>
      </c>
      <c r="L546" s="252">
        <v>556</v>
      </c>
      <c r="M546" s="252">
        <v>563</v>
      </c>
      <c r="N546" s="252">
        <v>1346</v>
      </c>
      <c r="O546" s="252">
        <v>4321</v>
      </c>
      <c r="P546" s="252">
        <v>3040</v>
      </c>
      <c r="Q546" s="252">
        <v>11587</v>
      </c>
      <c r="R546" s="252">
        <v>2034</v>
      </c>
      <c r="S546" s="252">
        <v>4333</v>
      </c>
      <c r="T546" s="252">
        <v>2081</v>
      </c>
      <c r="U546" s="252">
        <v>38651</v>
      </c>
      <c r="V546" s="253">
        <v>-311</v>
      </c>
      <c r="W546" s="254">
        <v>38340</v>
      </c>
      <c r="X546" s="252">
        <v>32</v>
      </c>
      <c r="Y546" s="252">
        <v>5924</v>
      </c>
      <c r="Z546" s="253">
        <v>32695</v>
      </c>
      <c r="AA546" s="262">
        <v>4893</v>
      </c>
      <c r="AB546" s="272">
        <v>37140.619510249577</v>
      </c>
    </row>
    <row r="547" spans="1:28" ht="13.5" customHeight="1">
      <c r="A547" s="18">
        <v>23</v>
      </c>
      <c r="B547" s="19" t="s">
        <v>28</v>
      </c>
      <c r="C547" s="251">
        <v>0</v>
      </c>
      <c r="D547" s="252">
        <v>5</v>
      </c>
      <c r="E547" s="252">
        <v>46</v>
      </c>
      <c r="F547" s="252">
        <v>0</v>
      </c>
      <c r="G547" s="252">
        <v>590</v>
      </c>
      <c r="H547" s="252">
        <v>6484</v>
      </c>
      <c r="I547" s="252">
        <v>9995</v>
      </c>
      <c r="J547" s="252">
        <v>8148</v>
      </c>
      <c r="K547" s="252">
        <v>554</v>
      </c>
      <c r="L547" s="252">
        <v>5355</v>
      </c>
      <c r="M547" s="252">
        <v>8690</v>
      </c>
      <c r="N547" s="252">
        <v>2884</v>
      </c>
      <c r="O547" s="252">
        <v>16762</v>
      </c>
      <c r="P547" s="252">
        <v>7583</v>
      </c>
      <c r="Q547" s="252">
        <v>3190</v>
      </c>
      <c r="R547" s="252">
        <v>3464</v>
      </c>
      <c r="S547" s="252">
        <v>6302</v>
      </c>
      <c r="T547" s="252">
        <v>6285</v>
      </c>
      <c r="U547" s="252">
        <v>86337</v>
      </c>
      <c r="V547" s="253">
        <v>-694</v>
      </c>
      <c r="W547" s="254">
        <v>85643</v>
      </c>
      <c r="X547" s="252">
        <v>51</v>
      </c>
      <c r="Y547" s="252">
        <v>10585</v>
      </c>
      <c r="Z547" s="253">
        <v>75701</v>
      </c>
      <c r="AA547" s="262">
        <v>5780</v>
      </c>
      <c r="AB547" s="272">
        <v>83270.156797406875</v>
      </c>
    </row>
    <row r="548" spans="1:28" ht="13.5" customHeight="1">
      <c r="A548" s="18">
        <v>24</v>
      </c>
      <c r="B548" s="19" t="s">
        <v>29</v>
      </c>
      <c r="C548" s="251">
        <v>58</v>
      </c>
      <c r="D548" s="252">
        <v>3</v>
      </c>
      <c r="E548" s="252">
        <v>68</v>
      </c>
      <c r="F548" s="252">
        <v>30</v>
      </c>
      <c r="G548" s="252">
        <v>310</v>
      </c>
      <c r="H548" s="252">
        <v>1044</v>
      </c>
      <c r="I548" s="252">
        <v>4947</v>
      </c>
      <c r="J548" s="252">
        <v>2429</v>
      </c>
      <c r="K548" s="252">
        <v>1021</v>
      </c>
      <c r="L548" s="252">
        <v>1914</v>
      </c>
      <c r="M548" s="252">
        <v>160</v>
      </c>
      <c r="N548" s="252">
        <v>500</v>
      </c>
      <c r="O548" s="252">
        <v>7824</v>
      </c>
      <c r="P548" s="252">
        <v>1947</v>
      </c>
      <c r="Q548" s="252">
        <v>1850</v>
      </c>
      <c r="R548" s="252">
        <v>4086</v>
      </c>
      <c r="S548" s="252">
        <v>12774</v>
      </c>
      <c r="T548" s="252">
        <v>3031</v>
      </c>
      <c r="U548" s="252">
        <v>43996</v>
      </c>
      <c r="V548" s="253">
        <v>-353</v>
      </c>
      <c r="W548" s="254">
        <v>43643</v>
      </c>
      <c r="X548" s="252">
        <v>129</v>
      </c>
      <c r="Y548" s="252">
        <v>5287</v>
      </c>
      <c r="Z548" s="253">
        <v>38580</v>
      </c>
      <c r="AA548" s="262">
        <v>5224</v>
      </c>
      <c r="AB548" s="272">
        <v>42250.94591027288</v>
      </c>
    </row>
    <row r="549" spans="1:28" ht="13.5" customHeight="1">
      <c r="A549" s="18">
        <v>25</v>
      </c>
      <c r="B549" s="19" t="s">
        <v>30</v>
      </c>
      <c r="C549" s="251">
        <v>140</v>
      </c>
      <c r="D549" s="252">
        <v>0</v>
      </c>
      <c r="E549" s="252">
        <v>14</v>
      </c>
      <c r="F549" s="252">
        <v>212</v>
      </c>
      <c r="G549" s="252">
        <v>7374</v>
      </c>
      <c r="H549" s="252">
        <v>11600</v>
      </c>
      <c r="I549" s="252">
        <v>5092</v>
      </c>
      <c r="J549" s="252">
        <v>3247</v>
      </c>
      <c r="K549" s="252">
        <v>1289</v>
      </c>
      <c r="L549" s="252">
        <v>531</v>
      </c>
      <c r="M549" s="252">
        <v>761</v>
      </c>
      <c r="N549" s="252">
        <v>200</v>
      </c>
      <c r="O549" s="252">
        <v>7682</v>
      </c>
      <c r="P549" s="252">
        <v>2172</v>
      </c>
      <c r="Q549" s="252">
        <v>1663</v>
      </c>
      <c r="R549" s="252">
        <v>1886</v>
      </c>
      <c r="S549" s="252">
        <v>10418</v>
      </c>
      <c r="T549" s="252">
        <v>3755</v>
      </c>
      <c r="U549" s="252">
        <v>58036</v>
      </c>
      <c r="V549" s="253">
        <v>-467</v>
      </c>
      <c r="W549" s="254">
        <v>57569</v>
      </c>
      <c r="X549" s="252">
        <v>154</v>
      </c>
      <c r="Y549" s="252">
        <v>12678</v>
      </c>
      <c r="Z549" s="253">
        <v>45204</v>
      </c>
      <c r="AA549" s="262">
        <v>6162</v>
      </c>
      <c r="AB549" s="272">
        <v>56741.006578467044</v>
      </c>
    </row>
    <row r="550" spans="1:28" ht="13.5" customHeight="1">
      <c r="A550" s="20">
        <v>26</v>
      </c>
      <c r="B550" s="21" t="s">
        <v>31</v>
      </c>
      <c r="C550" s="255">
        <v>156</v>
      </c>
      <c r="D550" s="256">
        <v>3</v>
      </c>
      <c r="E550" s="256">
        <v>82</v>
      </c>
      <c r="F550" s="256">
        <v>61</v>
      </c>
      <c r="G550" s="256">
        <v>21627</v>
      </c>
      <c r="H550" s="256">
        <v>6194</v>
      </c>
      <c r="I550" s="256">
        <v>6539</v>
      </c>
      <c r="J550" s="256">
        <v>13493</v>
      </c>
      <c r="K550" s="256">
        <v>6787</v>
      </c>
      <c r="L550" s="256">
        <v>1109</v>
      </c>
      <c r="M550" s="256">
        <v>407</v>
      </c>
      <c r="N550" s="256">
        <v>1966</v>
      </c>
      <c r="O550" s="256">
        <v>10689</v>
      </c>
      <c r="P550" s="256">
        <v>7335</v>
      </c>
      <c r="Q550" s="256">
        <v>2513</v>
      </c>
      <c r="R550" s="256">
        <v>21687</v>
      </c>
      <c r="S550" s="256">
        <v>19195</v>
      </c>
      <c r="T550" s="256">
        <v>5244</v>
      </c>
      <c r="U550" s="256">
        <v>125087</v>
      </c>
      <c r="V550" s="257">
        <v>-1005</v>
      </c>
      <c r="W550" s="258">
        <v>124082</v>
      </c>
      <c r="X550" s="256">
        <v>241</v>
      </c>
      <c r="Y550" s="256">
        <v>28227</v>
      </c>
      <c r="Z550" s="257">
        <v>96619</v>
      </c>
      <c r="AA550" s="263">
        <v>5525</v>
      </c>
      <c r="AB550" s="273">
        <v>120252.51717163001</v>
      </c>
    </row>
    <row r="551" spans="1:28" ht="13.5" customHeight="1">
      <c r="A551" s="18">
        <v>27</v>
      </c>
      <c r="B551" s="19" t="s">
        <v>32</v>
      </c>
      <c r="C551" s="247">
        <v>162</v>
      </c>
      <c r="D551" s="248">
        <v>0</v>
      </c>
      <c r="E551" s="248">
        <v>129</v>
      </c>
      <c r="F551" s="248">
        <v>30</v>
      </c>
      <c r="G551" s="248">
        <v>774</v>
      </c>
      <c r="H551" s="248">
        <v>1209</v>
      </c>
      <c r="I551" s="248">
        <v>3348</v>
      </c>
      <c r="J551" s="248">
        <v>4584</v>
      </c>
      <c r="K551" s="248">
        <v>593</v>
      </c>
      <c r="L551" s="248">
        <v>936</v>
      </c>
      <c r="M551" s="248">
        <v>124</v>
      </c>
      <c r="N551" s="248">
        <v>1228</v>
      </c>
      <c r="O551" s="248">
        <v>6513</v>
      </c>
      <c r="P551" s="248">
        <v>1663</v>
      </c>
      <c r="Q551" s="248">
        <v>3089</v>
      </c>
      <c r="R551" s="248">
        <v>4995</v>
      </c>
      <c r="S551" s="248">
        <v>6527</v>
      </c>
      <c r="T551" s="248">
        <v>2155</v>
      </c>
      <c r="U551" s="248">
        <v>38059</v>
      </c>
      <c r="V551" s="249">
        <v>-306</v>
      </c>
      <c r="W551" s="250">
        <v>37753</v>
      </c>
      <c r="X551" s="248">
        <v>291</v>
      </c>
      <c r="Y551" s="248">
        <v>4152</v>
      </c>
      <c r="Z551" s="249">
        <v>33616</v>
      </c>
      <c r="AA551" s="261">
        <v>5032</v>
      </c>
      <c r="AB551" s="271">
        <v>36573.094189068754</v>
      </c>
    </row>
    <row r="552" spans="1:28" ht="13.5" customHeight="1">
      <c r="A552" s="18">
        <v>28</v>
      </c>
      <c r="B552" s="19" t="s">
        <v>33</v>
      </c>
      <c r="C552" s="251">
        <v>660</v>
      </c>
      <c r="D552" s="252">
        <v>10</v>
      </c>
      <c r="E552" s="252">
        <v>0</v>
      </c>
      <c r="F552" s="252">
        <v>91</v>
      </c>
      <c r="G552" s="252">
        <v>4177</v>
      </c>
      <c r="H552" s="252">
        <v>3851</v>
      </c>
      <c r="I552" s="252">
        <v>9362</v>
      </c>
      <c r="J552" s="252">
        <v>12380</v>
      </c>
      <c r="K552" s="252">
        <v>2586</v>
      </c>
      <c r="L552" s="252">
        <v>2002</v>
      </c>
      <c r="M552" s="252">
        <v>418</v>
      </c>
      <c r="N552" s="252">
        <v>1839</v>
      </c>
      <c r="O552" s="252">
        <v>14050</v>
      </c>
      <c r="P552" s="252">
        <v>5109</v>
      </c>
      <c r="Q552" s="252">
        <v>3152</v>
      </c>
      <c r="R552" s="252">
        <v>6037</v>
      </c>
      <c r="S552" s="252">
        <v>25293</v>
      </c>
      <c r="T552" s="252">
        <v>6208</v>
      </c>
      <c r="U552" s="252">
        <v>97225</v>
      </c>
      <c r="V552" s="253">
        <v>-782</v>
      </c>
      <c r="W552" s="254">
        <v>96443</v>
      </c>
      <c r="X552" s="252">
        <v>670</v>
      </c>
      <c r="Y552" s="252">
        <v>13630</v>
      </c>
      <c r="Z552" s="253">
        <v>82925</v>
      </c>
      <c r="AA552" s="262">
        <v>4817</v>
      </c>
      <c r="AB552" s="272">
        <v>93354.885114597055</v>
      </c>
    </row>
    <row r="553" spans="1:28" ht="13.5" customHeight="1">
      <c r="A553" s="18">
        <v>29</v>
      </c>
      <c r="B553" s="19" t="s">
        <v>34</v>
      </c>
      <c r="C553" s="251">
        <v>2</v>
      </c>
      <c r="D553" s="252">
        <v>3</v>
      </c>
      <c r="E553" s="252">
        <v>30</v>
      </c>
      <c r="F553" s="252">
        <v>0</v>
      </c>
      <c r="G553" s="252">
        <v>14</v>
      </c>
      <c r="H553" s="252">
        <v>115</v>
      </c>
      <c r="I553" s="252">
        <v>1201</v>
      </c>
      <c r="J553" s="252">
        <v>28</v>
      </c>
      <c r="K553" s="252">
        <v>102</v>
      </c>
      <c r="L553" s="252">
        <v>171</v>
      </c>
      <c r="M553" s="252">
        <v>6</v>
      </c>
      <c r="N553" s="252">
        <v>4</v>
      </c>
      <c r="O553" s="252">
        <v>102</v>
      </c>
      <c r="P553" s="252">
        <v>124</v>
      </c>
      <c r="Q553" s="252">
        <v>470</v>
      </c>
      <c r="R553" s="252">
        <v>341</v>
      </c>
      <c r="S553" s="252">
        <v>191</v>
      </c>
      <c r="T553" s="252">
        <v>596</v>
      </c>
      <c r="U553" s="252">
        <v>3500</v>
      </c>
      <c r="V553" s="253">
        <v>-28</v>
      </c>
      <c r="W553" s="254">
        <v>3472</v>
      </c>
      <c r="X553" s="252">
        <v>35</v>
      </c>
      <c r="Y553" s="252">
        <v>1215</v>
      </c>
      <c r="Z553" s="253">
        <v>2250</v>
      </c>
      <c r="AA553" s="262">
        <v>6017</v>
      </c>
      <c r="AB553" s="272">
        <v>3297.3232614594854</v>
      </c>
    </row>
    <row r="554" spans="1:28" ht="13.5" customHeight="1">
      <c r="A554" s="18">
        <v>30</v>
      </c>
      <c r="B554" s="19" t="s">
        <v>35</v>
      </c>
      <c r="C554" s="251">
        <v>2</v>
      </c>
      <c r="D554" s="252">
        <v>0</v>
      </c>
      <c r="E554" s="252">
        <v>22</v>
      </c>
      <c r="F554" s="252">
        <v>0</v>
      </c>
      <c r="G554" s="252">
        <v>28</v>
      </c>
      <c r="H554" s="252">
        <v>138</v>
      </c>
      <c r="I554" s="252">
        <v>781</v>
      </c>
      <c r="J554" s="252">
        <v>94</v>
      </c>
      <c r="K554" s="252">
        <v>307</v>
      </c>
      <c r="L554" s="252">
        <v>348</v>
      </c>
      <c r="M554" s="252">
        <v>0</v>
      </c>
      <c r="N554" s="252">
        <v>6</v>
      </c>
      <c r="O554" s="252">
        <v>178</v>
      </c>
      <c r="P554" s="252">
        <v>228</v>
      </c>
      <c r="Q554" s="252">
        <v>391</v>
      </c>
      <c r="R554" s="252">
        <v>553</v>
      </c>
      <c r="S554" s="252">
        <v>257</v>
      </c>
      <c r="T554" s="252">
        <v>868</v>
      </c>
      <c r="U554" s="252">
        <v>4201</v>
      </c>
      <c r="V554" s="253">
        <v>-34</v>
      </c>
      <c r="W554" s="254">
        <v>4167</v>
      </c>
      <c r="X554" s="252">
        <v>24</v>
      </c>
      <c r="Y554" s="252">
        <v>809</v>
      </c>
      <c r="Z554" s="253">
        <v>3368</v>
      </c>
      <c r="AA554" s="262">
        <v>5322</v>
      </c>
      <c r="AB554" s="272">
        <v>3954.12293738163</v>
      </c>
    </row>
    <row r="555" spans="1:28" ht="13.5" customHeight="1">
      <c r="A555" s="18">
        <v>31</v>
      </c>
      <c r="B555" s="19" t="s">
        <v>36</v>
      </c>
      <c r="C555" s="251">
        <v>62</v>
      </c>
      <c r="D555" s="252">
        <v>0</v>
      </c>
      <c r="E555" s="252">
        <v>7</v>
      </c>
      <c r="F555" s="252">
        <v>0</v>
      </c>
      <c r="G555" s="252">
        <v>181</v>
      </c>
      <c r="H555" s="252">
        <v>148</v>
      </c>
      <c r="I555" s="252">
        <v>1050</v>
      </c>
      <c r="J555" s="252">
        <v>25</v>
      </c>
      <c r="K555" s="252">
        <v>164</v>
      </c>
      <c r="L555" s="252">
        <v>46</v>
      </c>
      <c r="M555" s="252">
        <v>0</v>
      </c>
      <c r="N555" s="252">
        <v>2</v>
      </c>
      <c r="O555" s="252">
        <v>215</v>
      </c>
      <c r="P555" s="252">
        <v>0</v>
      </c>
      <c r="Q555" s="252">
        <v>485</v>
      </c>
      <c r="R555" s="252">
        <v>273</v>
      </c>
      <c r="S555" s="252">
        <v>426</v>
      </c>
      <c r="T555" s="252">
        <v>82</v>
      </c>
      <c r="U555" s="252">
        <v>3166</v>
      </c>
      <c r="V555" s="253">
        <v>-25</v>
      </c>
      <c r="W555" s="254">
        <v>3141</v>
      </c>
      <c r="X555" s="252">
        <v>69</v>
      </c>
      <c r="Y555" s="252">
        <v>1231</v>
      </c>
      <c r="Z555" s="253">
        <v>1866</v>
      </c>
      <c r="AA555" s="262">
        <v>7043</v>
      </c>
      <c r="AB555" s="272">
        <v>3019.9751742683084</v>
      </c>
    </row>
    <row r="556" spans="1:28" ht="13.5" customHeight="1">
      <c r="A556" s="18">
        <v>32</v>
      </c>
      <c r="B556" s="19" t="s">
        <v>37</v>
      </c>
      <c r="C556" s="251">
        <v>0</v>
      </c>
      <c r="D556" s="252">
        <v>0</v>
      </c>
      <c r="E556" s="252">
        <v>47</v>
      </c>
      <c r="F556" s="252">
        <v>0</v>
      </c>
      <c r="G556" s="252">
        <v>0</v>
      </c>
      <c r="H556" s="252">
        <v>8</v>
      </c>
      <c r="I556" s="252">
        <v>650</v>
      </c>
      <c r="J556" s="252">
        <v>16</v>
      </c>
      <c r="K556" s="252">
        <v>33</v>
      </c>
      <c r="L556" s="252">
        <v>23</v>
      </c>
      <c r="M556" s="252">
        <v>0</v>
      </c>
      <c r="N556" s="252">
        <v>17</v>
      </c>
      <c r="O556" s="252">
        <v>56</v>
      </c>
      <c r="P556" s="252">
        <v>0</v>
      </c>
      <c r="Q556" s="252">
        <v>227</v>
      </c>
      <c r="R556" s="252">
        <v>197</v>
      </c>
      <c r="S556" s="252">
        <v>123</v>
      </c>
      <c r="T556" s="252">
        <v>15</v>
      </c>
      <c r="U556" s="252">
        <v>1412</v>
      </c>
      <c r="V556" s="253">
        <v>-12</v>
      </c>
      <c r="W556" s="254">
        <v>1400</v>
      </c>
      <c r="X556" s="252">
        <v>47</v>
      </c>
      <c r="Y556" s="252">
        <v>650</v>
      </c>
      <c r="Z556" s="253">
        <v>715</v>
      </c>
      <c r="AA556" s="262">
        <v>5469</v>
      </c>
      <c r="AB556" s="272">
        <v>1327.1943172130657</v>
      </c>
    </row>
    <row r="557" spans="1:28" ht="13.5" customHeight="1">
      <c r="A557" s="18">
        <v>33</v>
      </c>
      <c r="B557" s="19" t="s">
        <v>38</v>
      </c>
      <c r="C557" s="251">
        <v>1077</v>
      </c>
      <c r="D557" s="252">
        <v>8</v>
      </c>
      <c r="E557" s="252">
        <v>29</v>
      </c>
      <c r="F557" s="252">
        <v>121</v>
      </c>
      <c r="G557" s="252">
        <v>1632</v>
      </c>
      <c r="H557" s="252">
        <v>223</v>
      </c>
      <c r="I557" s="252">
        <v>1816</v>
      </c>
      <c r="J557" s="252">
        <v>223</v>
      </c>
      <c r="K557" s="252">
        <v>132</v>
      </c>
      <c r="L557" s="252">
        <v>101</v>
      </c>
      <c r="M557" s="252">
        <v>0</v>
      </c>
      <c r="N557" s="252">
        <v>4</v>
      </c>
      <c r="O557" s="252">
        <v>104</v>
      </c>
      <c r="P557" s="252">
        <v>112</v>
      </c>
      <c r="Q557" s="252">
        <v>795</v>
      </c>
      <c r="R557" s="252">
        <v>368</v>
      </c>
      <c r="S557" s="252">
        <v>226</v>
      </c>
      <c r="T557" s="252">
        <v>156</v>
      </c>
      <c r="U557" s="252">
        <v>7127</v>
      </c>
      <c r="V557" s="253">
        <v>-57</v>
      </c>
      <c r="W557" s="254">
        <v>7070</v>
      </c>
      <c r="X557" s="252">
        <v>1114</v>
      </c>
      <c r="Y557" s="252">
        <v>3569</v>
      </c>
      <c r="Z557" s="253">
        <v>2444</v>
      </c>
      <c r="AA557" s="262">
        <v>6240</v>
      </c>
      <c r="AB557" s="272">
        <v>6766.0201519612274</v>
      </c>
    </row>
    <row r="558" spans="1:28" ht="13.5" customHeight="1">
      <c r="A558" s="18">
        <v>34</v>
      </c>
      <c r="B558" s="19" t="s">
        <v>39</v>
      </c>
      <c r="C558" s="251">
        <v>301</v>
      </c>
      <c r="D558" s="252">
        <v>0</v>
      </c>
      <c r="E558" s="252">
        <v>11</v>
      </c>
      <c r="F558" s="252">
        <v>0</v>
      </c>
      <c r="G558" s="252">
        <v>91</v>
      </c>
      <c r="H558" s="252">
        <v>92</v>
      </c>
      <c r="I558" s="252">
        <v>1437</v>
      </c>
      <c r="J558" s="252">
        <v>56</v>
      </c>
      <c r="K558" s="252">
        <v>114</v>
      </c>
      <c r="L558" s="252">
        <v>131</v>
      </c>
      <c r="M558" s="252">
        <v>0</v>
      </c>
      <c r="N558" s="252">
        <v>2</v>
      </c>
      <c r="O558" s="252">
        <v>34</v>
      </c>
      <c r="P558" s="252">
        <v>75</v>
      </c>
      <c r="Q558" s="252">
        <v>425</v>
      </c>
      <c r="R558" s="252">
        <v>285</v>
      </c>
      <c r="S558" s="252">
        <v>174</v>
      </c>
      <c r="T558" s="252">
        <v>80</v>
      </c>
      <c r="U558" s="252">
        <v>3308</v>
      </c>
      <c r="V558" s="253">
        <v>-27</v>
      </c>
      <c r="W558" s="254">
        <v>3281</v>
      </c>
      <c r="X558" s="252">
        <v>312</v>
      </c>
      <c r="Y558" s="252">
        <v>1528</v>
      </c>
      <c r="Z558" s="253">
        <v>1468</v>
      </c>
      <c r="AA558" s="262">
        <v>5686</v>
      </c>
      <c r="AB558" s="272">
        <v>3126.5865352667529</v>
      </c>
    </row>
    <row r="559" spans="1:28" ht="13.5" customHeight="1">
      <c r="A559" s="18">
        <v>35</v>
      </c>
      <c r="B559" s="19" t="s">
        <v>40</v>
      </c>
      <c r="C559" s="251">
        <v>142</v>
      </c>
      <c r="D559" s="252">
        <v>5</v>
      </c>
      <c r="E559" s="252">
        <v>79</v>
      </c>
      <c r="F559" s="252">
        <v>30</v>
      </c>
      <c r="G559" s="252">
        <v>257</v>
      </c>
      <c r="H559" s="252">
        <v>193</v>
      </c>
      <c r="I559" s="252">
        <v>1932</v>
      </c>
      <c r="J559" s="252">
        <v>210</v>
      </c>
      <c r="K559" s="252">
        <v>238</v>
      </c>
      <c r="L559" s="252">
        <v>78</v>
      </c>
      <c r="M559" s="252">
        <v>0</v>
      </c>
      <c r="N559" s="252">
        <v>18</v>
      </c>
      <c r="O559" s="252">
        <v>143</v>
      </c>
      <c r="P559" s="252">
        <v>72</v>
      </c>
      <c r="Q559" s="252">
        <v>587</v>
      </c>
      <c r="R559" s="252">
        <v>541</v>
      </c>
      <c r="S559" s="252">
        <v>371</v>
      </c>
      <c r="T559" s="252">
        <v>127</v>
      </c>
      <c r="U559" s="252">
        <v>5023</v>
      </c>
      <c r="V559" s="253">
        <v>-41</v>
      </c>
      <c r="W559" s="254">
        <v>4982</v>
      </c>
      <c r="X559" s="252">
        <v>226</v>
      </c>
      <c r="Y559" s="252">
        <v>2219</v>
      </c>
      <c r="Z559" s="253">
        <v>2578</v>
      </c>
      <c r="AA559" s="262">
        <v>5740</v>
      </c>
      <c r="AB559" s="272">
        <v>4708.8665094659873</v>
      </c>
    </row>
    <row r="560" spans="1:28" ht="13.5" customHeight="1">
      <c r="A560" s="18">
        <v>36</v>
      </c>
      <c r="B560" s="19" t="s">
        <v>41</v>
      </c>
      <c r="C560" s="251">
        <v>450</v>
      </c>
      <c r="D560" s="252">
        <v>0</v>
      </c>
      <c r="E560" s="252">
        <v>110</v>
      </c>
      <c r="F560" s="252">
        <v>0</v>
      </c>
      <c r="G560" s="252">
        <v>111</v>
      </c>
      <c r="H560" s="252">
        <v>145</v>
      </c>
      <c r="I560" s="252">
        <v>2622</v>
      </c>
      <c r="J560" s="252">
        <v>159</v>
      </c>
      <c r="K560" s="252">
        <v>412</v>
      </c>
      <c r="L560" s="252">
        <v>84</v>
      </c>
      <c r="M560" s="252">
        <v>0</v>
      </c>
      <c r="N560" s="252">
        <v>17</v>
      </c>
      <c r="O560" s="252">
        <v>247</v>
      </c>
      <c r="P560" s="252">
        <v>30</v>
      </c>
      <c r="Q560" s="252">
        <v>715</v>
      </c>
      <c r="R560" s="252">
        <v>379</v>
      </c>
      <c r="S560" s="252">
        <v>414</v>
      </c>
      <c r="T560" s="252">
        <v>130</v>
      </c>
      <c r="U560" s="252">
        <v>6025</v>
      </c>
      <c r="V560" s="253">
        <v>-49</v>
      </c>
      <c r="W560" s="254">
        <v>5976</v>
      </c>
      <c r="X560" s="252">
        <v>560</v>
      </c>
      <c r="Y560" s="252">
        <v>2733</v>
      </c>
      <c r="Z560" s="253">
        <v>2732</v>
      </c>
      <c r="AA560" s="262">
        <v>6351</v>
      </c>
      <c r="AB560" s="272">
        <v>5646.108792943407</v>
      </c>
    </row>
    <row r="561" spans="1:28" ht="13.5" customHeight="1">
      <c r="A561" s="18">
        <v>37</v>
      </c>
      <c r="B561" s="19" t="s">
        <v>49</v>
      </c>
      <c r="C561" s="251">
        <v>1260</v>
      </c>
      <c r="D561" s="252">
        <v>0</v>
      </c>
      <c r="E561" s="252">
        <v>410</v>
      </c>
      <c r="F561" s="252">
        <v>61</v>
      </c>
      <c r="G561" s="252">
        <v>1194</v>
      </c>
      <c r="H561" s="252">
        <v>1210</v>
      </c>
      <c r="I561" s="252">
        <v>1601</v>
      </c>
      <c r="J561" s="252">
        <v>1217</v>
      </c>
      <c r="K561" s="252">
        <v>772</v>
      </c>
      <c r="L561" s="252">
        <v>562</v>
      </c>
      <c r="M561" s="252">
        <v>0</v>
      </c>
      <c r="N561" s="252">
        <v>203</v>
      </c>
      <c r="O561" s="252">
        <v>1917</v>
      </c>
      <c r="P561" s="252">
        <v>1056</v>
      </c>
      <c r="Q561" s="252">
        <v>3814</v>
      </c>
      <c r="R561" s="252">
        <v>1864</v>
      </c>
      <c r="S561" s="252">
        <v>2000</v>
      </c>
      <c r="T561" s="252">
        <v>1067</v>
      </c>
      <c r="U561" s="252">
        <v>20208</v>
      </c>
      <c r="V561" s="253">
        <v>-163</v>
      </c>
      <c r="W561" s="254">
        <v>20045</v>
      </c>
      <c r="X561" s="252">
        <v>1670</v>
      </c>
      <c r="Y561" s="252">
        <v>2856</v>
      </c>
      <c r="Z561" s="253">
        <v>15682</v>
      </c>
      <c r="AA561" s="262">
        <v>4413</v>
      </c>
      <c r="AB561" s="272">
        <v>19333.184456144812</v>
      </c>
    </row>
    <row r="562" spans="1:28" ht="13.5" customHeight="1">
      <c r="A562" s="20">
        <v>38</v>
      </c>
      <c r="B562" s="21" t="s">
        <v>50</v>
      </c>
      <c r="C562" s="255">
        <v>2742</v>
      </c>
      <c r="D562" s="256">
        <v>0</v>
      </c>
      <c r="E562" s="256">
        <v>115</v>
      </c>
      <c r="F562" s="256">
        <v>91</v>
      </c>
      <c r="G562" s="256">
        <v>2097</v>
      </c>
      <c r="H562" s="256">
        <v>2124</v>
      </c>
      <c r="I562" s="256">
        <v>7591</v>
      </c>
      <c r="J562" s="256">
        <v>3223</v>
      </c>
      <c r="K562" s="256">
        <v>1829</v>
      </c>
      <c r="L562" s="256">
        <v>637</v>
      </c>
      <c r="M562" s="256">
        <v>936</v>
      </c>
      <c r="N562" s="256">
        <v>868</v>
      </c>
      <c r="O562" s="256">
        <v>9281</v>
      </c>
      <c r="P562" s="256">
        <v>3350</v>
      </c>
      <c r="Q562" s="256">
        <v>6251</v>
      </c>
      <c r="R562" s="256">
        <v>6655</v>
      </c>
      <c r="S562" s="256">
        <v>12152</v>
      </c>
      <c r="T562" s="256">
        <v>2890</v>
      </c>
      <c r="U562" s="256">
        <v>62832</v>
      </c>
      <c r="V562" s="257">
        <v>-505</v>
      </c>
      <c r="W562" s="258">
        <v>62327</v>
      </c>
      <c r="X562" s="256">
        <v>2857</v>
      </c>
      <c r="Y562" s="256">
        <v>9779</v>
      </c>
      <c r="Z562" s="257">
        <v>50196</v>
      </c>
      <c r="AA562" s="263">
        <v>5175</v>
      </c>
      <c r="AB562" s="273">
        <v>60646.755458878972</v>
      </c>
    </row>
    <row r="563" spans="1:28" ht="13.5" customHeight="1">
      <c r="A563" s="20">
        <v>39</v>
      </c>
      <c r="B563" s="21" t="s">
        <v>42</v>
      </c>
      <c r="C563" s="243">
        <v>868</v>
      </c>
      <c r="D563" s="244">
        <v>0</v>
      </c>
      <c r="E563" s="244">
        <v>1</v>
      </c>
      <c r="F563" s="244">
        <v>0</v>
      </c>
      <c r="G563" s="244">
        <v>517</v>
      </c>
      <c r="H563" s="244">
        <v>173</v>
      </c>
      <c r="I563" s="244">
        <v>544</v>
      </c>
      <c r="J563" s="244">
        <v>115</v>
      </c>
      <c r="K563" s="244">
        <v>160</v>
      </c>
      <c r="L563" s="244">
        <v>58</v>
      </c>
      <c r="M563" s="244">
        <v>0</v>
      </c>
      <c r="N563" s="244">
        <v>2</v>
      </c>
      <c r="O563" s="244">
        <v>207</v>
      </c>
      <c r="P563" s="244">
        <v>90</v>
      </c>
      <c r="Q563" s="244">
        <v>553</v>
      </c>
      <c r="R563" s="244">
        <v>387</v>
      </c>
      <c r="S563" s="244">
        <v>165</v>
      </c>
      <c r="T563" s="244">
        <v>107</v>
      </c>
      <c r="U563" s="244">
        <v>3947</v>
      </c>
      <c r="V563" s="245">
        <v>-32</v>
      </c>
      <c r="W563" s="246">
        <v>3915</v>
      </c>
      <c r="X563" s="244">
        <v>869</v>
      </c>
      <c r="Y563" s="244">
        <v>1061</v>
      </c>
      <c r="Z563" s="245">
        <v>2017</v>
      </c>
      <c r="AA563" s="260">
        <v>4994</v>
      </c>
      <c r="AB563" s="270">
        <v>3865.8232669240197</v>
      </c>
    </row>
    <row r="564" spans="1:28" ht="13.5" customHeight="1">
      <c r="A564" s="18">
        <v>40</v>
      </c>
      <c r="B564" s="19" t="s">
        <v>43</v>
      </c>
      <c r="C564" s="247">
        <v>1251</v>
      </c>
      <c r="D564" s="248">
        <v>10</v>
      </c>
      <c r="E564" s="248">
        <v>93</v>
      </c>
      <c r="F564" s="248">
        <v>0</v>
      </c>
      <c r="G564" s="248">
        <v>1015</v>
      </c>
      <c r="H564" s="248">
        <v>404</v>
      </c>
      <c r="I564" s="248">
        <v>3534</v>
      </c>
      <c r="J564" s="248">
        <v>358</v>
      </c>
      <c r="K564" s="248">
        <v>923</v>
      </c>
      <c r="L564" s="248">
        <v>1360</v>
      </c>
      <c r="M564" s="248">
        <v>0</v>
      </c>
      <c r="N564" s="248">
        <v>15</v>
      </c>
      <c r="O564" s="248">
        <v>1037</v>
      </c>
      <c r="P564" s="248">
        <v>888</v>
      </c>
      <c r="Q564" s="248">
        <v>670</v>
      </c>
      <c r="R564" s="248">
        <v>2166</v>
      </c>
      <c r="S564" s="248">
        <v>483</v>
      </c>
      <c r="T564" s="248">
        <v>2145</v>
      </c>
      <c r="U564" s="248">
        <v>16352</v>
      </c>
      <c r="V564" s="249">
        <v>-132</v>
      </c>
      <c r="W564" s="250">
        <v>16220</v>
      </c>
      <c r="X564" s="248">
        <v>1354</v>
      </c>
      <c r="Y564" s="248">
        <v>4549</v>
      </c>
      <c r="Z564" s="249">
        <v>10449</v>
      </c>
      <c r="AA564" s="261">
        <v>5200</v>
      </c>
      <c r="AB564" s="271">
        <v>15487.405717494012</v>
      </c>
    </row>
    <row r="565" spans="1:28" ht="13.5" customHeight="1">
      <c r="A565" s="20">
        <v>41</v>
      </c>
      <c r="B565" s="21" t="s">
        <v>44</v>
      </c>
      <c r="C565" s="255">
        <v>175</v>
      </c>
      <c r="D565" s="256">
        <v>0</v>
      </c>
      <c r="E565" s="256">
        <v>77</v>
      </c>
      <c r="F565" s="256">
        <v>151</v>
      </c>
      <c r="G565" s="256">
        <v>516</v>
      </c>
      <c r="H565" s="256">
        <v>259</v>
      </c>
      <c r="I565" s="256">
        <v>1691</v>
      </c>
      <c r="J565" s="256">
        <v>174</v>
      </c>
      <c r="K565" s="256">
        <v>253</v>
      </c>
      <c r="L565" s="256">
        <v>213</v>
      </c>
      <c r="M565" s="256">
        <v>0</v>
      </c>
      <c r="N565" s="256">
        <v>18</v>
      </c>
      <c r="O565" s="256">
        <v>326</v>
      </c>
      <c r="P565" s="256">
        <v>302</v>
      </c>
      <c r="Q565" s="256">
        <v>2958</v>
      </c>
      <c r="R565" s="256">
        <v>708</v>
      </c>
      <c r="S565" s="256">
        <v>466</v>
      </c>
      <c r="T565" s="256">
        <v>241</v>
      </c>
      <c r="U565" s="256">
        <v>8528</v>
      </c>
      <c r="V565" s="257">
        <v>-69</v>
      </c>
      <c r="W565" s="258">
        <v>8459</v>
      </c>
      <c r="X565" s="256">
        <v>252</v>
      </c>
      <c r="Y565" s="256">
        <v>2358</v>
      </c>
      <c r="Z565" s="257">
        <v>5918</v>
      </c>
      <c r="AA565" s="263">
        <v>5978</v>
      </c>
      <c r="AB565" s="273">
        <v>8092.9112383957518</v>
      </c>
    </row>
    <row r="566" spans="1:28" ht="15.75" customHeight="1">
      <c r="A566" s="111" t="s">
        <v>146</v>
      </c>
      <c r="B566" s="7" t="s">
        <v>139</v>
      </c>
      <c r="C566" s="247">
        <v>12733</v>
      </c>
      <c r="D566" s="248">
        <v>220</v>
      </c>
      <c r="E566" s="248">
        <v>1789</v>
      </c>
      <c r="F566" s="248">
        <v>3635</v>
      </c>
      <c r="G566" s="248">
        <v>13610</v>
      </c>
      <c r="H566" s="248">
        <v>21985</v>
      </c>
      <c r="I566" s="248">
        <v>67436</v>
      </c>
      <c r="J566" s="248">
        <v>22597</v>
      </c>
      <c r="K566" s="248">
        <v>16653</v>
      </c>
      <c r="L566" s="248">
        <v>17559</v>
      </c>
      <c r="M566" s="248">
        <v>4140</v>
      </c>
      <c r="N566" s="248">
        <v>6081</v>
      </c>
      <c r="O566" s="248">
        <v>44350</v>
      </c>
      <c r="P566" s="248">
        <v>25145</v>
      </c>
      <c r="Q566" s="248">
        <v>31391</v>
      </c>
      <c r="R566" s="248">
        <v>36072</v>
      </c>
      <c r="S566" s="248">
        <v>53988</v>
      </c>
      <c r="T566" s="248">
        <v>25179</v>
      </c>
      <c r="U566" s="248">
        <v>404563</v>
      </c>
      <c r="V566" s="249">
        <v>-3256</v>
      </c>
      <c r="W566" s="250">
        <v>401307</v>
      </c>
      <c r="X566" s="248">
        <v>14742</v>
      </c>
      <c r="Y566" s="248">
        <v>84681</v>
      </c>
      <c r="Z566" s="249">
        <v>305140</v>
      </c>
      <c r="AA566" s="261">
        <v>5068</v>
      </c>
      <c r="AB566" s="271">
        <v>385991.65240160062</v>
      </c>
    </row>
    <row r="567" spans="1:28" ht="15.75" customHeight="1">
      <c r="A567" s="112" t="s">
        <v>147</v>
      </c>
      <c r="B567" s="17" t="s">
        <v>140</v>
      </c>
      <c r="C567" s="251">
        <v>4374</v>
      </c>
      <c r="D567" s="252">
        <v>22</v>
      </c>
      <c r="E567" s="252">
        <v>1525</v>
      </c>
      <c r="F567" s="252">
        <v>2029</v>
      </c>
      <c r="G567" s="252">
        <v>98396</v>
      </c>
      <c r="H567" s="252">
        <v>89599</v>
      </c>
      <c r="I567" s="252">
        <v>156021</v>
      </c>
      <c r="J567" s="252">
        <v>178901</v>
      </c>
      <c r="K567" s="252">
        <v>59120</v>
      </c>
      <c r="L567" s="252">
        <v>34612</v>
      </c>
      <c r="M567" s="252">
        <v>60300</v>
      </c>
      <c r="N567" s="252">
        <v>42607</v>
      </c>
      <c r="O567" s="252">
        <v>247184</v>
      </c>
      <c r="P567" s="252">
        <v>168323</v>
      </c>
      <c r="Q567" s="252">
        <v>99429</v>
      </c>
      <c r="R567" s="252">
        <v>107109</v>
      </c>
      <c r="S567" s="252">
        <v>218809</v>
      </c>
      <c r="T567" s="252">
        <v>91793</v>
      </c>
      <c r="U567" s="252">
        <v>1660153</v>
      </c>
      <c r="V567" s="253">
        <v>-13349</v>
      </c>
      <c r="W567" s="254">
        <v>1646804</v>
      </c>
      <c r="X567" s="252">
        <v>5921</v>
      </c>
      <c r="Y567" s="252">
        <v>256446</v>
      </c>
      <c r="Z567" s="253">
        <v>1397786</v>
      </c>
      <c r="AA567" s="262">
        <v>5862</v>
      </c>
      <c r="AB567" s="272">
        <v>1597189.7004961148</v>
      </c>
    </row>
    <row r="568" spans="1:28" ht="15.75" customHeight="1">
      <c r="A568" s="112" t="s">
        <v>148</v>
      </c>
      <c r="B568" s="17" t="s">
        <v>141</v>
      </c>
      <c r="C568" s="251">
        <v>12773</v>
      </c>
      <c r="D568" s="252">
        <v>29</v>
      </c>
      <c r="E568" s="252">
        <v>1875</v>
      </c>
      <c r="F568" s="252">
        <v>1608</v>
      </c>
      <c r="G568" s="252">
        <v>45485</v>
      </c>
      <c r="H568" s="252">
        <v>21320</v>
      </c>
      <c r="I568" s="252">
        <v>69326</v>
      </c>
      <c r="J568" s="252">
        <v>52676</v>
      </c>
      <c r="K568" s="252">
        <v>27298</v>
      </c>
      <c r="L568" s="252">
        <v>13091</v>
      </c>
      <c r="M568" s="252">
        <v>11697</v>
      </c>
      <c r="N568" s="252">
        <v>9146</v>
      </c>
      <c r="O568" s="252">
        <v>87815</v>
      </c>
      <c r="P568" s="252">
        <v>41272</v>
      </c>
      <c r="Q568" s="252">
        <v>43753</v>
      </c>
      <c r="R568" s="252">
        <v>45559</v>
      </c>
      <c r="S568" s="252">
        <v>109118</v>
      </c>
      <c r="T568" s="252">
        <v>35034</v>
      </c>
      <c r="U568" s="252">
        <v>628875</v>
      </c>
      <c r="V568" s="253">
        <v>-5057</v>
      </c>
      <c r="W568" s="254">
        <v>623818</v>
      </c>
      <c r="X568" s="252">
        <v>14677</v>
      </c>
      <c r="Y568" s="252">
        <v>116419</v>
      </c>
      <c r="Z568" s="253">
        <v>497779</v>
      </c>
      <c r="AA568" s="262">
        <v>5023</v>
      </c>
      <c r="AB568" s="272">
        <v>604142.93389973778</v>
      </c>
    </row>
    <row r="569" spans="1:28" ht="15.75" customHeight="1">
      <c r="A569" s="112" t="s">
        <v>149</v>
      </c>
      <c r="B569" s="17" t="s">
        <v>142</v>
      </c>
      <c r="C569" s="251">
        <v>317</v>
      </c>
      <c r="D569" s="252">
        <v>53</v>
      </c>
      <c r="E569" s="252">
        <v>1825</v>
      </c>
      <c r="F569" s="252">
        <v>606</v>
      </c>
      <c r="G569" s="252">
        <v>13238</v>
      </c>
      <c r="H569" s="252">
        <v>33674</v>
      </c>
      <c r="I569" s="252">
        <v>96506</v>
      </c>
      <c r="J569" s="252">
        <v>118595</v>
      </c>
      <c r="K569" s="252">
        <v>77875</v>
      </c>
      <c r="L569" s="252">
        <v>31453</v>
      </c>
      <c r="M569" s="252">
        <v>96178</v>
      </c>
      <c r="N569" s="252">
        <v>92379</v>
      </c>
      <c r="O569" s="252">
        <v>151492</v>
      </c>
      <c r="P569" s="252">
        <v>195019</v>
      </c>
      <c r="Q569" s="252">
        <v>201363</v>
      </c>
      <c r="R569" s="252">
        <v>43424</v>
      </c>
      <c r="S569" s="252">
        <v>128104</v>
      </c>
      <c r="T569" s="252">
        <v>58118</v>
      </c>
      <c r="U569" s="252">
        <v>1340219</v>
      </c>
      <c r="V569" s="253">
        <v>-10772</v>
      </c>
      <c r="W569" s="254">
        <v>1329447</v>
      </c>
      <c r="X569" s="252">
        <v>2195</v>
      </c>
      <c r="Y569" s="252">
        <v>110350</v>
      </c>
      <c r="Z569" s="253">
        <v>1227674</v>
      </c>
      <c r="AA569" s="262">
        <v>6755</v>
      </c>
      <c r="AB569" s="272">
        <v>1291097.6893290135</v>
      </c>
    </row>
    <row r="570" spans="1:28" ht="15.75" customHeight="1">
      <c r="A570" s="112" t="s">
        <v>150</v>
      </c>
      <c r="B570" s="17" t="s">
        <v>143</v>
      </c>
      <c r="C570" s="251">
        <v>8283</v>
      </c>
      <c r="D570" s="252">
        <v>66</v>
      </c>
      <c r="E570" s="252">
        <v>505</v>
      </c>
      <c r="F570" s="252">
        <v>394</v>
      </c>
      <c r="G570" s="252">
        <v>8102</v>
      </c>
      <c r="H570" s="252">
        <v>7753</v>
      </c>
      <c r="I570" s="252">
        <v>29160</v>
      </c>
      <c r="J570" s="252">
        <v>18241</v>
      </c>
      <c r="K570" s="252">
        <v>7931</v>
      </c>
      <c r="L570" s="252">
        <v>5621</v>
      </c>
      <c r="M570" s="252">
        <v>2139</v>
      </c>
      <c r="N570" s="252">
        <v>2750</v>
      </c>
      <c r="O570" s="252">
        <v>18428</v>
      </c>
      <c r="P570" s="252">
        <v>14038</v>
      </c>
      <c r="Q570" s="252">
        <v>26514</v>
      </c>
      <c r="R570" s="252">
        <v>10714</v>
      </c>
      <c r="S570" s="252">
        <v>20799</v>
      </c>
      <c r="T570" s="252">
        <v>8071</v>
      </c>
      <c r="U570" s="252">
        <v>189509</v>
      </c>
      <c r="V570" s="253">
        <v>-1524</v>
      </c>
      <c r="W570" s="254">
        <v>187985</v>
      </c>
      <c r="X570" s="252">
        <v>8854</v>
      </c>
      <c r="Y570" s="252">
        <v>37656</v>
      </c>
      <c r="Z570" s="253">
        <v>142999</v>
      </c>
      <c r="AA570" s="262">
        <v>5777</v>
      </c>
      <c r="AB570" s="272">
        <v>180465.15754810566</v>
      </c>
    </row>
    <row r="571" spans="1:28" ht="15.75" customHeight="1">
      <c r="A571" s="113" t="s">
        <v>151</v>
      </c>
      <c r="B571" s="105" t="s">
        <v>144</v>
      </c>
      <c r="C571" s="255">
        <v>6560</v>
      </c>
      <c r="D571" s="256">
        <v>35</v>
      </c>
      <c r="E571" s="256">
        <v>687</v>
      </c>
      <c r="F571" s="256">
        <v>484</v>
      </c>
      <c r="G571" s="256">
        <v>5659</v>
      </c>
      <c r="H571" s="256">
        <v>7988</v>
      </c>
      <c r="I571" s="256">
        <v>48019</v>
      </c>
      <c r="J571" s="256">
        <v>12477</v>
      </c>
      <c r="K571" s="256">
        <v>11852</v>
      </c>
      <c r="L571" s="256">
        <v>7547</v>
      </c>
      <c r="M571" s="256">
        <v>1447</v>
      </c>
      <c r="N571" s="256">
        <v>2676</v>
      </c>
      <c r="O571" s="256">
        <v>19641</v>
      </c>
      <c r="P571" s="256">
        <v>16341</v>
      </c>
      <c r="Q571" s="256">
        <v>24060</v>
      </c>
      <c r="R571" s="256">
        <v>12346</v>
      </c>
      <c r="S571" s="256">
        <v>15557</v>
      </c>
      <c r="T571" s="256">
        <v>11007</v>
      </c>
      <c r="U571" s="256">
        <v>204383</v>
      </c>
      <c r="V571" s="257">
        <v>-1645</v>
      </c>
      <c r="W571" s="258">
        <v>202738</v>
      </c>
      <c r="X571" s="256">
        <v>7282</v>
      </c>
      <c r="Y571" s="256">
        <v>54162</v>
      </c>
      <c r="Z571" s="257">
        <v>142939</v>
      </c>
      <c r="AA571" s="263">
        <v>6879</v>
      </c>
      <c r="AB571" s="273">
        <v>193816.37872874644</v>
      </c>
    </row>
    <row r="572" spans="1:28" ht="15.75" customHeight="1">
      <c r="A572" s="222" t="s">
        <v>293</v>
      </c>
      <c r="B572" s="25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</row>
    <row r="573" spans="1:28" ht="15.75" customHeight="1">
      <c r="A573" s="222" t="s">
        <v>292</v>
      </c>
    </row>
    <row r="574" spans="1:28" ht="13.5" customHeight="1">
      <c r="A574" s="55">
        <f>A522+1</f>
        <v>4</v>
      </c>
      <c r="B574" s="50" t="str">
        <f>IF(A574&lt;22,"令和"&amp;A574&amp;"年度","平成"&amp;A574&amp;"年度")</f>
        <v>令和4年度</v>
      </c>
      <c r="C574" s="56" t="str">
        <f>C$2</f>
        <v>経済活動別市町村内総生産（百万円）</v>
      </c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1"/>
      <c r="Y574" s="2"/>
      <c r="Z574" s="57"/>
      <c r="AA574" s="57"/>
      <c r="AB574" s="57"/>
    </row>
    <row r="575" spans="1:28" ht="45" customHeight="1">
      <c r="A575" s="186"/>
      <c r="B575" s="76"/>
      <c r="C575" s="77" t="s">
        <v>51</v>
      </c>
      <c r="D575" s="77" t="s">
        <v>52</v>
      </c>
      <c r="E575" s="77" t="s">
        <v>53</v>
      </c>
      <c r="F575" s="77" t="s">
        <v>54</v>
      </c>
      <c r="G575" s="77" t="s">
        <v>55</v>
      </c>
      <c r="H575" s="77" t="s">
        <v>56</v>
      </c>
      <c r="I575" s="77" t="s">
        <v>57</v>
      </c>
      <c r="J575" s="77" t="s">
        <v>58</v>
      </c>
      <c r="K575" s="77" t="s">
        <v>59</v>
      </c>
      <c r="L575" s="77" t="s">
        <v>60</v>
      </c>
      <c r="M575" s="77" t="s">
        <v>61</v>
      </c>
      <c r="N575" s="77" t="s">
        <v>62</v>
      </c>
      <c r="O575" s="77" t="s">
        <v>63</v>
      </c>
      <c r="P575" s="77" t="s">
        <v>64</v>
      </c>
      <c r="Q575" s="77" t="s">
        <v>65</v>
      </c>
      <c r="R575" s="77" t="s">
        <v>66</v>
      </c>
      <c r="S575" s="77" t="s">
        <v>67</v>
      </c>
      <c r="T575" s="77" t="s">
        <v>68</v>
      </c>
      <c r="U575" s="77" t="s">
        <v>70</v>
      </c>
      <c r="V575" s="78" t="s">
        <v>69</v>
      </c>
      <c r="W575" s="79" t="s">
        <v>71</v>
      </c>
      <c r="X575" s="77" t="s">
        <v>72</v>
      </c>
      <c r="Y575" s="77" t="s">
        <v>73</v>
      </c>
      <c r="Z575" s="77" t="s">
        <v>74</v>
      </c>
      <c r="AA575" s="259" t="s">
        <v>277</v>
      </c>
      <c r="AB575" s="269" t="s">
        <v>278</v>
      </c>
    </row>
    <row r="576" spans="1:28" ht="13.5" customHeight="1">
      <c r="A576" s="153" t="s">
        <v>160</v>
      </c>
      <c r="B576" s="22" t="s">
        <v>0</v>
      </c>
      <c r="C576" s="243">
        <v>32225</v>
      </c>
      <c r="D576" s="244">
        <v>360</v>
      </c>
      <c r="E576" s="244">
        <v>8062</v>
      </c>
      <c r="F576" s="244">
        <v>10909</v>
      </c>
      <c r="G576" s="244">
        <v>178929</v>
      </c>
      <c r="H576" s="244">
        <v>88174</v>
      </c>
      <c r="I576" s="244">
        <v>389153</v>
      </c>
      <c r="J576" s="244">
        <v>413952</v>
      </c>
      <c r="K576" s="244">
        <v>253359</v>
      </c>
      <c r="L576" s="244">
        <v>165855</v>
      </c>
      <c r="M576" s="244">
        <v>171820</v>
      </c>
      <c r="N576" s="244">
        <v>175435</v>
      </c>
      <c r="O576" s="244">
        <v>590513</v>
      </c>
      <c r="P576" s="244">
        <v>489367</v>
      </c>
      <c r="Q576" s="244">
        <v>441146</v>
      </c>
      <c r="R576" s="244">
        <v>262149</v>
      </c>
      <c r="S576" s="244">
        <v>550301</v>
      </c>
      <c r="T576" s="244">
        <v>244018</v>
      </c>
      <c r="U576" s="244">
        <v>4465727</v>
      </c>
      <c r="V576" s="245">
        <v>-30815</v>
      </c>
      <c r="W576" s="246">
        <v>4434912</v>
      </c>
      <c r="X576" s="244">
        <v>40647</v>
      </c>
      <c r="Y576" s="244">
        <v>578991</v>
      </c>
      <c r="Z576" s="245">
        <v>3846089</v>
      </c>
      <c r="AA576" s="260">
        <v>5985</v>
      </c>
      <c r="AB576" s="270">
        <v>4315378</v>
      </c>
    </row>
    <row r="577" spans="1:28" ht="13.5" customHeight="1">
      <c r="A577" s="16" t="s">
        <v>1</v>
      </c>
      <c r="B577" s="17" t="s">
        <v>2</v>
      </c>
      <c r="C577" s="247">
        <v>244</v>
      </c>
      <c r="D577" s="248">
        <v>45</v>
      </c>
      <c r="E577" s="248">
        <v>1650</v>
      </c>
      <c r="F577" s="248">
        <v>755</v>
      </c>
      <c r="G577" s="248">
        <v>13029</v>
      </c>
      <c r="H577" s="248">
        <v>26856</v>
      </c>
      <c r="I577" s="248">
        <v>64222</v>
      </c>
      <c r="J577" s="248">
        <v>122378</v>
      </c>
      <c r="K577" s="248">
        <v>106527</v>
      </c>
      <c r="L577" s="248">
        <v>47041</v>
      </c>
      <c r="M577" s="248">
        <v>94050</v>
      </c>
      <c r="N577" s="248">
        <v>104059</v>
      </c>
      <c r="O577" s="248">
        <v>157814</v>
      </c>
      <c r="P577" s="248">
        <v>206413</v>
      </c>
      <c r="Q577" s="248">
        <v>204635</v>
      </c>
      <c r="R577" s="248">
        <v>45359</v>
      </c>
      <c r="S577" s="248">
        <v>129223</v>
      </c>
      <c r="T577" s="248">
        <v>61166</v>
      </c>
      <c r="U577" s="248">
        <v>1385466</v>
      </c>
      <c r="V577" s="249">
        <v>-9559</v>
      </c>
      <c r="W577" s="250">
        <v>1375907</v>
      </c>
      <c r="X577" s="248">
        <v>1939</v>
      </c>
      <c r="Y577" s="248">
        <v>78006</v>
      </c>
      <c r="Z577" s="249">
        <v>1305521</v>
      </c>
      <c r="AA577" s="261">
        <v>7006</v>
      </c>
      <c r="AB577" s="271">
        <v>1315522.1725521765</v>
      </c>
    </row>
    <row r="578" spans="1:28" ht="13.5" customHeight="1">
      <c r="A578" s="18" t="s">
        <v>3</v>
      </c>
      <c r="B578" s="19" t="s">
        <v>4</v>
      </c>
      <c r="C578" s="251">
        <v>41</v>
      </c>
      <c r="D578" s="252">
        <v>0</v>
      </c>
      <c r="E578" s="252">
        <v>116</v>
      </c>
      <c r="F578" s="252">
        <v>679</v>
      </c>
      <c r="G578" s="252">
        <v>3213</v>
      </c>
      <c r="H578" s="252">
        <v>7100</v>
      </c>
      <c r="I578" s="252">
        <v>38422</v>
      </c>
      <c r="J578" s="252">
        <v>24381</v>
      </c>
      <c r="K578" s="252">
        <v>5488</v>
      </c>
      <c r="L578" s="252">
        <v>5187</v>
      </c>
      <c r="M578" s="252">
        <v>12951</v>
      </c>
      <c r="N578" s="252">
        <v>5656</v>
      </c>
      <c r="O578" s="252">
        <v>40510</v>
      </c>
      <c r="P578" s="252">
        <v>27019</v>
      </c>
      <c r="Q578" s="252">
        <v>10573</v>
      </c>
      <c r="R578" s="252">
        <v>13028</v>
      </c>
      <c r="S578" s="252">
        <v>22015</v>
      </c>
      <c r="T578" s="252">
        <v>13705</v>
      </c>
      <c r="U578" s="252">
        <v>230084</v>
      </c>
      <c r="V578" s="253">
        <v>-1588</v>
      </c>
      <c r="W578" s="254">
        <v>228496</v>
      </c>
      <c r="X578" s="252">
        <v>157</v>
      </c>
      <c r="Y578" s="252">
        <v>42314</v>
      </c>
      <c r="Z578" s="253">
        <v>187613</v>
      </c>
      <c r="AA578" s="262">
        <v>6062</v>
      </c>
      <c r="AB578" s="272">
        <v>215668.14446222497</v>
      </c>
    </row>
    <row r="579" spans="1:28" ht="13.5" customHeight="1">
      <c r="A579" s="18" t="s">
        <v>5</v>
      </c>
      <c r="B579" s="19" t="s">
        <v>6</v>
      </c>
      <c r="C579" s="251">
        <v>3351</v>
      </c>
      <c r="D579" s="252">
        <v>21</v>
      </c>
      <c r="E579" s="252">
        <v>511</v>
      </c>
      <c r="F579" s="252">
        <v>415</v>
      </c>
      <c r="G579" s="252">
        <v>3857</v>
      </c>
      <c r="H579" s="252">
        <v>3093</v>
      </c>
      <c r="I579" s="252">
        <v>21960</v>
      </c>
      <c r="J579" s="252">
        <v>12173</v>
      </c>
      <c r="K579" s="252">
        <v>13415</v>
      </c>
      <c r="L579" s="252">
        <v>10850</v>
      </c>
      <c r="M579" s="252">
        <v>1354</v>
      </c>
      <c r="N579" s="252">
        <v>3017</v>
      </c>
      <c r="O579" s="252">
        <v>18727</v>
      </c>
      <c r="P579" s="252">
        <v>16339</v>
      </c>
      <c r="Q579" s="252">
        <v>20847</v>
      </c>
      <c r="R579" s="252">
        <v>9809</v>
      </c>
      <c r="S579" s="252">
        <v>14700</v>
      </c>
      <c r="T579" s="252">
        <v>9296</v>
      </c>
      <c r="U579" s="252">
        <v>163735</v>
      </c>
      <c r="V579" s="253">
        <v>-1130</v>
      </c>
      <c r="W579" s="254">
        <v>162605</v>
      </c>
      <c r="X579" s="252">
        <v>3883</v>
      </c>
      <c r="Y579" s="252">
        <v>26232</v>
      </c>
      <c r="Z579" s="253">
        <v>133620</v>
      </c>
      <c r="AA579" s="262">
        <v>6525</v>
      </c>
      <c r="AB579" s="272">
        <v>157317.68439918433</v>
      </c>
    </row>
    <row r="580" spans="1:28" ht="13.5" customHeight="1">
      <c r="A580" s="18" t="s">
        <v>7</v>
      </c>
      <c r="B580" s="19" t="s">
        <v>8</v>
      </c>
      <c r="C580" s="251">
        <v>12</v>
      </c>
      <c r="D580" s="252">
        <v>2</v>
      </c>
      <c r="E580" s="252">
        <v>170</v>
      </c>
      <c r="F580" s="252">
        <v>189</v>
      </c>
      <c r="G580" s="252">
        <v>21087</v>
      </c>
      <c r="H580" s="252">
        <v>5202</v>
      </c>
      <c r="I580" s="252">
        <v>29183</v>
      </c>
      <c r="J580" s="252">
        <v>79528</v>
      </c>
      <c r="K580" s="252">
        <v>26441</v>
      </c>
      <c r="L580" s="252">
        <v>6421</v>
      </c>
      <c r="M580" s="252">
        <v>27163</v>
      </c>
      <c r="N580" s="252">
        <v>14355</v>
      </c>
      <c r="O580" s="252">
        <v>50816</v>
      </c>
      <c r="P580" s="252">
        <v>57929</v>
      </c>
      <c r="Q580" s="252">
        <v>15161</v>
      </c>
      <c r="R580" s="252">
        <v>19813</v>
      </c>
      <c r="S580" s="252">
        <v>43855</v>
      </c>
      <c r="T580" s="252">
        <v>19883</v>
      </c>
      <c r="U580" s="252">
        <v>417210</v>
      </c>
      <c r="V580" s="253">
        <v>-2879</v>
      </c>
      <c r="W580" s="254">
        <v>414331</v>
      </c>
      <c r="X580" s="252">
        <v>184</v>
      </c>
      <c r="Y580" s="252">
        <v>50459</v>
      </c>
      <c r="Z580" s="253">
        <v>366567</v>
      </c>
      <c r="AA580" s="262">
        <v>6815</v>
      </c>
      <c r="AB580" s="272">
        <v>407198.18035069492</v>
      </c>
    </row>
    <row r="581" spans="1:28" ht="13.5" customHeight="1">
      <c r="A581" s="16" t="s">
        <v>9</v>
      </c>
      <c r="B581" s="17" t="s">
        <v>10</v>
      </c>
      <c r="C581" s="251">
        <v>1862</v>
      </c>
      <c r="D581" s="252">
        <v>66</v>
      </c>
      <c r="E581" s="252">
        <v>482</v>
      </c>
      <c r="F581" s="252">
        <v>2379</v>
      </c>
      <c r="G581" s="252">
        <v>7070</v>
      </c>
      <c r="H581" s="252">
        <v>7037</v>
      </c>
      <c r="I581" s="252">
        <v>41395</v>
      </c>
      <c r="J581" s="252">
        <v>15785</v>
      </c>
      <c r="K581" s="252">
        <v>8597</v>
      </c>
      <c r="L581" s="252">
        <v>11021</v>
      </c>
      <c r="M581" s="252">
        <v>2715</v>
      </c>
      <c r="N581" s="252">
        <v>5160</v>
      </c>
      <c r="O581" s="252">
        <v>24135</v>
      </c>
      <c r="P581" s="252">
        <v>18598</v>
      </c>
      <c r="Q581" s="252">
        <v>15521</v>
      </c>
      <c r="R581" s="252">
        <v>16536</v>
      </c>
      <c r="S581" s="252">
        <v>34105</v>
      </c>
      <c r="T581" s="252">
        <v>10190</v>
      </c>
      <c r="U581" s="252">
        <v>222654</v>
      </c>
      <c r="V581" s="253">
        <v>-1536</v>
      </c>
      <c r="W581" s="254">
        <v>221118</v>
      </c>
      <c r="X581" s="252">
        <v>2410</v>
      </c>
      <c r="Y581" s="252">
        <v>50844</v>
      </c>
      <c r="Z581" s="253">
        <v>169400</v>
      </c>
      <c r="AA581" s="262">
        <v>6263</v>
      </c>
      <c r="AB581" s="272">
        <v>208877.46644541275</v>
      </c>
    </row>
    <row r="582" spans="1:28" ht="13.5" customHeight="1">
      <c r="A582" s="18" t="s">
        <v>11</v>
      </c>
      <c r="B582" s="19" t="s">
        <v>12</v>
      </c>
      <c r="C582" s="251">
        <v>2580</v>
      </c>
      <c r="D582" s="252">
        <v>0</v>
      </c>
      <c r="E582" s="252">
        <v>584</v>
      </c>
      <c r="F582" s="252">
        <v>1321</v>
      </c>
      <c r="G582" s="252">
        <v>20814</v>
      </c>
      <c r="H582" s="252">
        <v>2872</v>
      </c>
      <c r="I582" s="252">
        <v>10098</v>
      </c>
      <c r="J582" s="252">
        <v>11361</v>
      </c>
      <c r="K582" s="252">
        <v>11531</v>
      </c>
      <c r="L582" s="252">
        <v>4348</v>
      </c>
      <c r="M582" s="252">
        <v>698</v>
      </c>
      <c r="N582" s="252">
        <v>2459</v>
      </c>
      <c r="O582" s="252">
        <v>20536</v>
      </c>
      <c r="P582" s="252">
        <v>5521</v>
      </c>
      <c r="Q582" s="252">
        <v>8919</v>
      </c>
      <c r="R582" s="252">
        <v>10985</v>
      </c>
      <c r="S582" s="252">
        <v>19769</v>
      </c>
      <c r="T582" s="252">
        <v>8450</v>
      </c>
      <c r="U582" s="252">
        <v>142846</v>
      </c>
      <c r="V582" s="253">
        <v>-985</v>
      </c>
      <c r="W582" s="254">
        <v>141861</v>
      </c>
      <c r="X582" s="252">
        <v>3164</v>
      </c>
      <c r="Y582" s="252">
        <v>32233</v>
      </c>
      <c r="Z582" s="253">
        <v>107449</v>
      </c>
      <c r="AA582" s="262">
        <v>4834</v>
      </c>
      <c r="AB582" s="272">
        <v>134459.85812910524</v>
      </c>
    </row>
    <row r="583" spans="1:28" ht="13.5" customHeight="1">
      <c r="A583" s="18" t="s">
        <v>13</v>
      </c>
      <c r="B583" s="19" t="s">
        <v>14</v>
      </c>
      <c r="C583" s="251">
        <v>699</v>
      </c>
      <c r="D583" s="252">
        <v>4</v>
      </c>
      <c r="E583" s="252">
        <v>125</v>
      </c>
      <c r="F583" s="252">
        <v>377</v>
      </c>
      <c r="G583" s="252">
        <v>13658</v>
      </c>
      <c r="H583" s="252">
        <v>9972</v>
      </c>
      <c r="I583" s="252">
        <v>25985</v>
      </c>
      <c r="J583" s="252">
        <v>23928</v>
      </c>
      <c r="K583" s="252">
        <v>11240</v>
      </c>
      <c r="L583" s="252">
        <v>10161</v>
      </c>
      <c r="M583" s="252">
        <v>2977</v>
      </c>
      <c r="N583" s="252">
        <v>12717</v>
      </c>
      <c r="O583" s="252">
        <v>55526</v>
      </c>
      <c r="P583" s="252">
        <v>40507</v>
      </c>
      <c r="Q583" s="252">
        <v>30810</v>
      </c>
      <c r="R583" s="252">
        <v>20809</v>
      </c>
      <c r="S583" s="252">
        <v>57855</v>
      </c>
      <c r="T583" s="252">
        <v>20834</v>
      </c>
      <c r="U583" s="252">
        <v>338184</v>
      </c>
      <c r="V583" s="253">
        <v>-2334</v>
      </c>
      <c r="W583" s="254">
        <v>335850</v>
      </c>
      <c r="X583" s="252">
        <v>828</v>
      </c>
      <c r="Y583" s="252">
        <v>40020</v>
      </c>
      <c r="Z583" s="253">
        <v>297336</v>
      </c>
      <c r="AA583" s="262">
        <v>5948</v>
      </c>
      <c r="AB583" s="272">
        <v>318387.66854983277</v>
      </c>
    </row>
    <row r="584" spans="1:28" ht="13.5" customHeight="1">
      <c r="A584" s="18" t="s">
        <v>15</v>
      </c>
      <c r="B584" s="19" t="s">
        <v>45</v>
      </c>
      <c r="C584" s="251">
        <v>692</v>
      </c>
      <c r="D584" s="252">
        <v>0</v>
      </c>
      <c r="E584" s="252">
        <v>217</v>
      </c>
      <c r="F584" s="252">
        <v>0</v>
      </c>
      <c r="G584" s="252">
        <v>5595</v>
      </c>
      <c r="H584" s="252">
        <v>3593</v>
      </c>
      <c r="I584" s="252">
        <v>13169</v>
      </c>
      <c r="J584" s="252">
        <v>15829</v>
      </c>
      <c r="K584" s="252">
        <v>10700</v>
      </c>
      <c r="L584" s="252">
        <v>5931</v>
      </c>
      <c r="M584" s="252">
        <v>7834</v>
      </c>
      <c r="N584" s="252">
        <v>2797</v>
      </c>
      <c r="O584" s="252">
        <v>23331</v>
      </c>
      <c r="P584" s="252">
        <v>21131</v>
      </c>
      <c r="Q584" s="252">
        <v>7796</v>
      </c>
      <c r="R584" s="252">
        <v>8567</v>
      </c>
      <c r="S584" s="252">
        <v>31765</v>
      </c>
      <c r="T584" s="252">
        <v>8010</v>
      </c>
      <c r="U584" s="252">
        <v>166957</v>
      </c>
      <c r="V584" s="253">
        <v>-1152</v>
      </c>
      <c r="W584" s="254">
        <v>165805</v>
      </c>
      <c r="X584" s="252">
        <v>909</v>
      </c>
      <c r="Y584" s="252">
        <v>18764</v>
      </c>
      <c r="Z584" s="253">
        <v>147284</v>
      </c>
      <c r="AA584" s="262">
        <v>5728</v>
      </c>
      <c r="AB584" s="272">
        <v>158513.71741590687</v>
      </c>
    </row>
    <row r="585" spans="1:28" ht="13.5" customHeight="1">
      <c r="A585" s="18" t="s">
        <v>16</v>
      </c>
      <c r="B585" s="19" t="s">
        <v>46</v>
      </c>
      <c r="C585" s="251">
        <v>1581</v>
      </c>
      <c r="D585" s="252">
        <v>2</v>
      </c>
      <c r="E585" s="252">
        <v>659</v>
      </c>
      <c r="F585" s="252">
        <v>642</v>
      </c>
      <c r="G585" s="252">
        <v>26797</v>
      </c>
      <c r="H585" s="252">
        <v>147</v>
      </c>
      <c r="I585" s="252">
        <v>24334</v>
      </c>
      <c r="J585" s="252">
        <v>22781</v>
      </c>
      <c r="K585" s="252">
        <v>13371</v>
      </c>
      <c r="L585" s="252">
        <v>5868</v>
      </c>
      <c r="M585" s="252">
        <v>5336</v>
      </c>
      <c r="N585" s="252">
        <v>6309</v>
      </c>
      <c r="O585" s="252">
        <v>43881</v>
      </c>
      <c r="P585" s="252">
        <v>27463</v>
      </c>
      <c r="Q585" s="252">
        <v>23756</v>
      </c>
      <c r="R585" s="252">
        <v>17402</v>
      </c>
      <c r="S585" s="252">
        <v>36919</v>
      </c>
      <c r="T585" s="252">
        <v>15872</v>
      </c>
      <c r="U585" s="252">
        <v>273120</v>
      </c>
      <c r="V585" s="253">
        <v>-1885</v>
      </c>
      <c r="W585" s="254">
        <v>271235</v>
      </c>
      <c r="X585" s="252">
        <v>2242</v>
      </c>
      <c r="Y585" s="252">
        <v>51773</v>
      </c>
      <c r="Z585" s="253">
        <v>219105</v>
      </c>
      <c r="AA585" s="262">
        <v>5553</v>
      </c>
      <c r="AB585" s="272">
        <v>290396.76878906594</v>
      </c>
    </row>
    <row r="586" spans="1:28" ht="13.5" customHeight="1">
      <c r="A586" s="18">
        <v>10</v>
      </c>
      <c r="B586" s="19" t="s">
        <v>47</v>
      </c>
      <c r="C586" s="251">
        <v>4704</v>
      </c>
      <c r="D586" s="252">
        <v>56</v>
      </c>
      <c r="E586" s="252">
        <v>489</v>
      </c>
      <c r="F586" s="252">
        <v>491</v>
      </c>
      <c r="G586" s="252">
        <v>7127</v>
      </c>
      <c r="H586" s="252">
        <v>3431</v>
      </c>
      <c r="I586" s="252">
        <v>17274</v>
      </c>
      <c r="J586" s="252">
        <v>18392</v>
      </c>
      <c r="K586" s="252">
        <v>9931</v>
      </c>
      <c r="L586" s="252">
        <v>9925</v>
      </c>
      <c r="M586" s="252">
        <v>1963</v>
      </c>
      <c r="N586" s="252">
        <v>3149</v>
      </c>
      <c r="O586" s="252">
        <v>18933</v>
      </c>
      <c r="P586" s="252">
        <v>15038</v>
      </c>
      <c r="Q586" s="252">
        <v>26313</v>
      </c>
      <c r="R586" s="252">
        <v>10556</v>
      </c>
      <c r="S586" s="252">
        <v>20761</v>
      </c>
      <c r="T586" s="252">
        <v>8552</v>
      </c>
      <c r="U586" s="252">
        <v>177085</v>
      </c>
      <c r="V586" s="253">
        <v>-1222</v>
      </c>
      <c r="W586" s="254">
        <v>175863</v>
      </c>
      <c r="X586" s="252">
        <v>5249</v>
      </c>
      <c r="Y586" s="252">
        <v>24892</v>
      </c>
      <c r="Z586" s="253">
        <v>146944</v>
      </c>
      <c r="AA586" s="262">
        <v>5531</v>
      </c>
      <c r="AB586" s="272">
        <v>169932.3342161006</v>
      </c>
    </row>
    <row r="587" spans="1:28" ht="13.5" customHeight="1">
      <c r="A587" s="20">
        <v>11</v>
      </c>
      <c r="B587" s="21" t="s">
        <v>48</v>
      </c>
      <c r="C587" s="255">
        <v>1729</v>
      </c>
      <c r="D587" s="256">
        <v>6</v>
      </c>
      <c r="E587" s="256">
        <v>414</v>
      </c>
      <c r="F587" s="256">
        <v>189</v>
      </c>
      <c r="G587" s="256">
        <v>8557</v>
      </c>
      <c r="H587" s="256">
        <v>3519</v>
      </c>
      <c r="I587" s="256">
        <v>12793</v>
      </c>
      <c r="J587" s="256">
        <v>4191</v>
      </c>
      <c r="K587" s="256">
        <v>4147</v>
      </c>
      <c r="L587" s="256">
        <v>1442</v>
      </c>
      <c r="M587" s="256">
        <v>1592</v>
      </c>
      <c r="N587" s="256">
        <v>444</v>
      </c>
      <c r="O587" s="256">
        <v>13783</v>
      </c>
      <c r="P587" s="256">
        <v>5458</v>
      </c>
      <c r="Q587" s="256">
        <v>9377</v>
      </c>
      <c r="R587" s="256">
        <v>4924</v>
      </c>
      <c r="S587" s="256">
        <v>10522</v>
      </c>
      <c r="T587" s="256">
        <v>5673</v>
      </c>
      <c r="U587" s="256">
        <v>88760</v>
      </c>
      <c r="V587" s="257">
        <v>-612</v>
      </c>
      <c r="W587" s="258">
        <v>88148</v>
      </c>
      <c r="X587" s="256">
        <v>2149</v>
      </c>
      <c r="Y587" s="256">
        <v>21539</v>
      </c>
      <c r="Z587" s="257">
        <v>65072</v>
      </c>
      <c r="AA587" s="263">
        <v>5002</v>
      </c>
      <c r="AB587" s="273">
        <v>83487.757333268106</v>
      </c>
    </row>
    <row r="588" spans="1:28" ht="13.5" customHeight="1">
      <c r="A588" s="18">
        <v>12</v>
      </c>
      <c r="B588" s="19" t="s">
        <v>17</v>
      </c>
      <c r="C588" s="247">
        <v>1383</v>
      </c>
      <c r="D588" s="248">
        <v>73</v>
      </c>
      <c r="E588" s="248">
        <v>31</v>
      </c>
      <c r="F588" s="248">
        <v>38</v>
      </c>
      <c r="G588" s="248">
        <v>108</v>
      </c>
      <c r="H588" s="248">
        <v>550</v>
      </c>
      <c r="I588" s="248">
        <v>2036</v>
      </c>
      <c r="J588" s="248">
        <v>460</v>
      </c>
      <c r="K588" s="248">
        <v>191</v>
      </c>
      <c r="L588" s="248">
        <v>1549</v>
      </c>
      <c r="M588" s="248">
        <v>0</v>
      </c>
      <c r="N588" s="248">
        <v>192</v>
      </c>
      <c r="O588" s="248">
        <v>1128</v>
      </c>
      <c r="P588" s="248">
        <v>96</v>
      </c>
      <c r="Q588" s="248">
        <v>1609</v>
      </c>
      <c r="R588" s="248">
        <v>928</v>
      </c>
      <c r="S588" s="248">
        <v>854</v>
      </c>
      <c r="T588" s="248">
        <v>725</v>
      </c>
      <c r="U588" s="248">
        <v>11951</v>
      </c>
      <c r="V588" s="249">
        <v>-82</v>
      </c>
      <c r="W588" s="250">
        <v>11869</v>
      </c>
      <c r="X588" s="248">
        <v>1487</v>
      </c>
      <c r="Y588" s="248">
        <v>2182</v>
      </c>
      <c r="Z588" s="249">
        <v>8282</v>
      </c>
      <c r="AA588" s="261">
        <v>4052</v>
      </c>
      <c r="AB588" s="271">
        <v>11220.877514238018</v>
      </c>
    </row>
    <row r="589" spans="1:28" ht="13.5" customHeight="1">
      <c r="A589" s="18">
        <v>13</v>
      </c>
      <c r="B589" s="19" t="s">
        <v>18</v>
      </c>
      <c r="C589" s="251">
        <v>894</v>
      </c>
      <c r="D589" s="252">
        <v>9</v>
      </c>
      <c r="E589" s="252">
        <v>315</v>
      </c>
      <c r="F589" s="252">
        <v>0</v>
      </c>
      <c r="G589" s="252">
        <v>157</v>
      </c>
      <c r="H589" s="252">
        <v>120</v>
      </c>
      <c r="I589" s="252">
        <v>1380</v>
      </c>
      <c r="J589" s="252">
        <v>181</v>
      </c>
      <c r="K589" s="252">
        <v>413</v>
      </c>
      <c r="L589" s="252">
        <v>87</v>
      </c>
      <c r="M589" s="252">
        <v>0</v>
      </c>
      <c r="N589" s="252">
        <v>3</v>
      </c>
      <c r="O589" s="252">
        <v>838</v>
      </c>
      <c r="P589" s="252">
        <v>201</v>
      </c>
      <c r="Q589" s="252">
        <v>970</v>
      </c>
      <c r="R589" s="252">
        <v>665</v>
      </c>
      <c r="S589" s="252">
        <v>790</v>
      </c>
      <c r="T589" s="252">
        <v>392</v>
      </c>
      <c r="U589" s="252">
        <v>7415</v>
      </c>
      <c r="V589" s="253">
        <v>-52</v>
      </c>
      <c r="W589" s="254">
        <v>7363</v>
      </c>
      <c r="X589" s="252">
        <v>1218</v>
      </c>
      <c r="Y589" s="252">
        <v>1537</v>
      </c>
      <c r="Z589" s="253">
        <v>4660</v>
      </c>
      <c r="AA589" s="262">
        <v>4002</v>
      </c>
      <c r="AB589" s="272">
        <v>7121.6866712744968</v>
      </c>
    </row>
    <row r="590" spans="1:28" ht="13.5" customHeight="1">
      <c r="A590" s="18">
        <v>14</v>
      </c>
      <c r="B590" s="19" t="s">
        <v>19</v>
      </c>
      <c r="C590" s="251">
        <v>590</v>
      </c>
      <c r="D590" s="252">
        <v>6</v>
      </c>
      <c r="E590" s="252">
        <v>15</v>
      </c>
      <c r="F590" s="252">
        <v>0</v>
      </c>
      <c r="G590" s="252">
        <v>187</v>
      </c>
      <c r="H590" s="252">
        <v>12</v>
      </c>
      <c r="I590" s="252">
        <v>966</v>
      </c>
      <c r="J590" s="252">
        <v>102</v>
      </c>
      <c r="K590" s="252">
        <v>44</v>
      </c>
      <c r="L590" s="252">
        <v>201</v>
      </c>
      <c r="M590" s="252">
        <v>0</v>
      </c>
      <c r="N590" s="252">
        <v>6</v>
      </c>
      <c r="O590" s="252">
        <v>351</v>
      </c>
      <c r="P590" s="252">
        <v>1110</v>
      </c>
      <c r="Q590" s="252">
        <v>996</v>
      </c>
      <c r="R590" s="252">
        <v>509</v>
      </c>
      <c r="S590" s="252">
        <v>407</v>
      </c>
      <c r="T590" s="252">
        <v>290</v>
      </c>
      <c r="U590" s="252">
        <v>5792</v>
      </c>
      <c r="V590" s="253">
        <v>-40</v>
      </c>
      <c r="W590" s="254">
        <v>5752</v>
      </c>
      <c r="X590" s="252">
        <v>611</v>
      </c>
      <c r="Y590" s="252">
        <v>1153</v>
      </c>
      <c r="Z590" s="253">
        <v>4028</v>
      </c>
      <c r="AA590" s="262">
        <v>4734</v>
      </c>
      <c r="AB590" s="272">
        <v>5471.8731739881432</v>
      </c>
    </row>
    <row r="591" spans="1:28" ht="13.5" customHeight="1">
      <c r="A591" s="18">
        <v>15</v>
      </c>
      <c r="B591" s="19" t="s">
        <v>20</v>
      </c>
      <c r="C591" s="251">
        <v>1097</v>
      </c>
      <c r="D591" s="252">
        <v>2</v>
      </c>
      <c r="E591" s="252">
        <v>64</v>
      </c>
      <c r="F591" s="252">
        <v>38</v>
      </c>
      <c r="G591" s="252">
        <v>1590</v>
      </c>
      <c r="H591" s="252">
        <v>667</v>
      </c>
      <c r="I591" s="252">
        <v>1952</v>
      </c>
      <c r="J591" s="252">
        <v>594</v>
      </c>
      <c r="K591" s="252">
        <v>624</v>
      </c>
      <c r="L591" s="252">
        <v>975</v>
      </c>
      <c r="M591" s="252">
        <v>5</v>
      </c>
      <c r="N591" s="252">
        <v>181</v>
      </c>
      <c r="O591" s="252">
        <v>2334</v>
      </c>
      <c r="P591" s="252">
        <v>1102</v>
      </c>
      <c r="Q591" s="252">
        <v>1557</v>
      </c>
      <c r="R591" s="252">
        <v>1384</v>
      </c>
      <c r="S591" s="252">
        <v>2205</v>
      </c>
      <c r="T591" s="252">
        <v>1596</v>
      </c>
      <c r="U591" s="252">
        <v>17967</v>
      </c>
      <c r="V591" s="253">
        <v>-124</v>
      </c>
      <c r="W591" s="254">
        <v>17843</v>
      </c>
      <c r="X591" s="252">
        <v>1163</v>
      </c>
      <c r="Y591" s="252">
        <v>3580</v>
      </c>
      <c r="Z591" s="253">
        <v>13224</v>
      </c>
      <c r="AA591" s="262">
        <v>3802</v>
      </c>
      <c r="AB591" s="272">
        <v>16744.031894134132</v>
      </c>
    </row>
    <row r="592" spans="1:28" ht="13.5" customHeight="1">
      <c r="A592" s="18">
        <v>16</v>
      </c>
      <c r="B592" s="19" t="s">
        <v>21</v>
      </c>
      <c r="C592" s="251">
        <v>780</v>
      </c>
      <c r="D592" s="252">
        <v>2</v>
      </c>
      <c r="E592" s="252">
        <v>352</v>
      </c>
      <c r="F592" s="252">
        <v>1661</v>
      </c>
      <c r="G592" s="252">
        <v>1411</v>
      </c>
      <c r="H592" s="252">
        <v>1463</v>
      </c>
      <c r="I592" s="252">
        <v>4032</v>
      </c>
      <c r="J592" s="252">
        <v>1698</v>
      </c>
      <c r="K592" s="252">
        <v>2230</v>
      </c>
      <c r="L592" s="252">
        <v>3913</v>
      </c>
      <c r="M592" s="252">
        <v>0</v>
      </c>
      <c r="N592" s="252">
        <v>662</v>
      </c>
      <c r="O592" s="252">
        <v>4319</v>
      </c>
      <c r="P592" s="252">
        <v>2828</v>
      </c>
      <c r="Q592" s="252">
        <v>2649</v>
      </c>
      <c r="R592" s="252">
        <v>2115</v>
      </c>
      <c r="S592" s="252">
        <v>4682</v>
      </c>
      <c r="T592" s="252">
        <v>5671</v>
      </c>
      <c r="U592" s="252">
        <v>40468</v>
      </c>
      <c r="V592" s="253">
        <v>-279</v>
      </c>
      <c r="W592" s="254">
        <v>40189</v>
      </c>
      <c r="X592" s="252">
        <v>1134</v>
      </c>
      <c r="Y592" s="252">
        <v>7104</v>
      </c>
      <c r="Z592" s="253">
        <v>32230</v>
      </c>
      <c r="AA592" s="262">
        <v>4517</v>
      </c>
      <c r="AB592" s="272">
        <v>36921.147734829035</v>
      </c>
    </row>
    <row r="593" spans="1:28" ht="13.5" customHeight="1">
      <c r="A593" s="18">
        <v>17</v>
      </c>
      <c r="B593" s="19" t="s">
        <v>22</v>
      </c>
      <c r="C593" s="251">
        <v>482</v>
      </c>
      <c r="D593" s="252">
        <v>17</v>
      </c>
      <c r="E593" s="252">
        <v>187</v>
      </c>
      <c r="F593" s="252">
        <v>189</v>
      </c>
      <c r="G593" s="252">
        <v>383</v>
      </c>
      <c r="H593" s="252">
        <v>597</v>
      </c>
      <c r="I593" s="252">
        <v>3469</v>
      </c>
      <c r="J593" s="252">
        <v>1508</v>
      </c>
      <c r="K593" s="252">
        <v>1173</v>
      </c>
      <c r="L593" s="252">
        <v>14227</v>
      </c>
      <c r="M593" s="252">
        <v>68</v>
      </c>
      <c r="N593" s="252">
        <v>235</v>
      </c>
      <c r="O593" s="252">
        <v>5589</v>
      </c>
      <c r="P593" s="252">
        <v>1092</v>
      </c>
      <c r="Q593" s="252">
        <v>3480</v>
      </c>
      <c r="R593" s="252">
        <v>10414</v>
      </c>
      <c r="S593" s="252">
        <v>1922</v>
      </c>
      <c r="T593" s="252">
        <v>4447</v>
      </c>
      <c r="U593" s="252">
        <v>49479</v>
      </c>
      <c r="V593" s="253">
        <v>-341</v>
      </c>
      <c r="W593" s="254">
        <v>49138</v>
      </c>
      <c r="X593" s="252">
        <v>686</v>
      </c>
      <c r="Y593" s="252">
        <v>4041</v>
      </c>
      <c r="Z593" s="253">
        <v>44752</v>
      </c>
      <c r="AA593" s="262">
        <v>4769</v>
      </c>
      <c r="AB593" s="272">
        <v>45999.331236337166</v>
      </c>
    </row>
    <row r="594" spans="1:28" ht="13.5" customHeight="1">
      <c r="A594" s="18">
        <v>18</v>
      </c>
      <c r="B594" s="19" t="s">
        <v>23</v>
      </c>
      <c r="C594" s="251">
        <v>497</v>
      </c>
      <c r="D594" s="252">
        <v>9</v>
      </c>
      <c r="E594" s="252">
        <v>139</v>
      </c>
      <c r="F594" s="252">
        <v>0</v>
      </c>
      <c r="G594" s="252">
        <v>191</v>
      </c>
      <c r="H594" s="252">
        <v>781</v>
      </c>
      <c r="I594" s="252">
        <v>4074</v>
      </c>
      <c r="J594" s="252">
        <v>450</v>
      </c>
      <c r="K594" s="252">
        <v>1752</v>
      </c>
      <c r="L594" s="252">
        <v>154</v>
      </c>
      <c r="M594" s="252">
        <v>677</v>
      </c>
      <c r="N594" s="252">
        <v>14</v>
      </c>
      <c r="O594" s="252">
        <v>1976</v>
      </c>
      <c r="P594" s="252">
        <v>963</v>
      </c>
      <c r="Q594" s="252">
        <v>1558</v>
      </c>
      <c r="R594" s="252">
        <v>1290</v>
      </c>
      <c r="S594" s="252">
        <v>2137</v>
      </c>
      <c r="T594" s="252">
        <v>1214</v>
      </c>
      <c r="U594" s="252">
        <v>17876</v>
      </c>
      <c r="V594" s="253">
        <v>-124</v>
      </c>
      <c r="W594" s="254">
        <v>17752</v>
      </c>
      <c r="X594" s="252">
        <v>645</v>
      </c>
      <c r="Y594" s="252">
        <v>4265</v>
      </c>
      <c r="Z594" s="253">
        <v>12966</v>
      </c>
      <c r="AA594" s="262">
        <v>5513</v>
      </c>
      <c r="AB594" s="272">
        <v>16825.189454353778</v>
      </c>
    </row>
    <row r="595" spans="1:28" ht="13.5" customHeight="1">
      <c r="A595" s="18">
        <v>19</v>
      </c>
      <c r="B595" s="19" t="s">
        <v>24</v>
      </c>
      <c r="C595" s="251">
        <v>480</v>
      </c>
      <c r="D595" s="252">
        <v>0</v>
      </c>
      <c r="E595" s="252">
        <v>47</v>
      </c>
      <c r="F595" s="252">
        <v>113</v>
      </c>
      <c r="G595" s="252">
        <v>625</v>
      </c>
      <c r="H595" s="252">
        <v>-5889</v>
      </c>
      <c r="I595" s="252">
        <v>4395</v>
      </c>
      <c r="J595" s="252">
        <v>1070</v>
      </c>
      <c r="K595" s="252">
        <v>2531</v>
      </c>
      <c r="L595" s="252">
        <v>667</v>
      </c>
      <c r="M595" s="252">
        <v>477</v>
      </c>
      <c r="N595" s="252">
        <v>375</v>
      </c>
      <c r="O595" s="252">
        <v>4057</v>
      </c>
      <c r="P595" s="252">
        <v>715</v>
      </c>
      <c r="Q595" s="252">
        <v>2243</v>
      </c>
      <c r="R595" s="252">
        <v>2125</v>
      </c>
      <c r="S595" s="252">
        <v>5448</v>
      </c>
      <c r="T595" s="252">
        <v>1568</v>
      </c>
      <c r="U595" s="252">
        <v>21047</v>
      </c>
      <c r="V595" s="253">
        <v>-146</v>
      </c>
      <c r="W595" s="254">
        <v>20901</v>
      </c>
      <c r="X595" s="252">
        <v>527</v>
      </c>
      <c r="Y595" s="252">
        <v>5133</v>
      </c>
      <c r="Z595" s="253">
        <v>15387</v>
      </c>
      <c r="AA595" s="262">
        <v>3483</v>
      </c>
      <c r="AB595" s="272">
        <v>41766.373977141004</v>
      </c>
    </row>
    <row r="596" spans="1:28" ht="13.5" customHeight="1">
      <c r="A596" s="20">
        <v>20</v>
      </c>
      <c r="B596" s="21" t="s">
        <v>25</v>
      </c>
      <c r="C596" s="255">
        <v>1215</v>
      </c>
      <c r="D596" s="256">
        <v>2</v>
      </c>
      <c r="E596" s="256">
        <v>84</v>
      </c>
      <c r="F596" s="256">
        <v>75</v>
      </c>
      <c r="G596" s="256">
        <v>628</v>
      </c>
      <c r="H596" s="256">
        <v>274</v>
      </c>
      <c r="I596" s="256">
        <v>2022</v>
      </c>
      <c r="J596" s="256">
        <v>660</v>
      </c>
      <c r="K596" s="256">
        <v>655</v>
      </c>
      <c r="L596" s="256">
        <v>530</v>
      </c>
      <c r="M596" s="256">
        <v>22</v>
      </c>
      <c r="N596" s="256">
        <v>20</v>
      </c>
      <c r="O596" s="256">
        <v>1183</v>
      </c>
      <c r="P596" s="256">
        <v>86</v>
      </c>
      <c r="Q596" s="256">
        <v>1539</v>
      </c>
      <c r="R596" s="256">
        <v>627</v>
      </c>
      <c r="S596" s="256">
        <v>1116</v>
      </c>
      <c r="T596" s="256">
        <v>897</v>
      </c>
      <c r="U596" s="256">
        <v>11635</v>
      </c>
      <c r="V596" s="257">
        <v>-80</v>
      </c>
      <c r="W596" s="258">
        <v>11555</v>
      </c>
      <c r="X596" s="256">
        <v>1301</v>
      </c>
      <c r="Y596" s="256">
        <v>2725</v>
      </c>
      <c r="Z596" s="257">
        <v>7609</v>
      </c>
      <c r="AA596" s="263">
        <v>3936</v>
      </c>
      <c r="AB596" s="273">
        <v>10878.328753647513</v>
      </c>
    </row>
    <row r="597" spans="1:28" ht="13.5" customHeight="1">
      <c r="A597" s="18">
        <v>21</v>
      </c>
      <c r="B597" s="19" t="s">
        <v>26</v>
      </c>
      <c r="C597" s="247">
        <v>684</v>
      </c>
      <c r="D597" s="248">
        <v>0</v>
      </c>
      <c r="E597" s="248">
        <v>100</v>
      </c>
      <c r="F597" s="248">
        <v>264</v>
      </c>
      <c r="G597" s="248">
        <v>2113</v>
      </c>
      <c r="H597" s="248">
        <v>2462</v>
      </c>
      <c r="I597" s="248">
        <v>11420</v>
      </c>
      <c r="J597" s="248">
        <v>3668</v>
      </c>
      <c r="K597" s="248">
        <v>937</v>
      </c>
      <c r="L597" s="248">
        <v>2439</v>
      </c>
      <c r="M597" s="248">
        <v>60</v>
      </c>
      <c r="N597" s="248">
        <v>1063</v>
      </c>
      <c r="O597" s="248">
        <v>16344</v>
      </c>
      <c r="P597" s="248">
        <v>2291</v>
      </c>
      <c r="Q597" s="248">
        <v>3430</v>
      </c>
      <c r="R597" s="248">
        <v>4254</v>
      </c>
      <c r="S597" s="248">
        <v>6132</v>
      </c>
      <c r="T597" s="248">
        <v>5629</v>
      </c>
      <c r="U597" s="248">
        <v>63290</v>
      </c>
      <c r="V597" s="249">
        <v>-437</v>
      </c>
      <c r="W597" s="250">
        <v>62853</v>
      </c>
      <c r="X597" s="248">
        <v>784</v>
      </c>
      <c r="Y597" s="248">
        <v>13797</v>
      </c>
      <c r="Z597" s="249">
        <v>48709</v>
      </c>
      <c r="AA597" s="261">
        <v>4678</v>
      </c>
      <c r="AB597" s="271">
        <v>59240.55588981272</v>
      </c>
    </row>
    <row r="598" spans="1:28" ht="13.5" customHeight="1">
      <c r="A598" s="18">
        <v>22</v>
      </c>
      <c r="B598" s="19" t="s">
        <v>27</v>
      </c>
      <c r="C598" s="251">
        <v>18</v>
      </c>
      <c r="D598" s="252">
        <v>0</v>
      </c>
      <c r="E598" s="252">
        <v>4</v>
      </c>
      <c r="F598" s="252">
        <v>0</v>
      </c>
      <c r="G598" s="252">
        <v>1167</v>
      </c>
      <c r="H598" s="252">
        <v>734</v>
      </c>
      <c r="I598" s="252">
        <v>4450</v>
      </c>
      <c r="J598" s="252">
        <v>1663</v>
      </c>
      <c r="K598" s="252">
        <v>310</v>
      </c>
      <c r="L598" s="252">
        <v>625</v>
      </c>
      <c r="M598" s="252">
        <v>521</v>
      </c>
      <c r="N598" s="252">
        <v>1523</v>
      </c>
      <c r="O598" s="252">
        <v>4481</v>
      </c>
      <c r="P598" s="252">
        <v>3219</v>
      </c>
      <c r="Q598" s="252">
        <v>12233</v>
      </c>
      <c r="R598" s="252">
        <v>2113</v>
      </c>
      <c r="S598" s="252">
        <v>4361</v>
      </c>
      <c r="T598" s="252">
        <v>2152</v>
      </c>
      <c r="U598" s="252">
        <v>39574</v>
      </c>
      <c r="V598" s="253">
        <v>-273</v>
      </c>
      <c r="W598" s="254">
        <v>39301</v>
      </c>
      <c r="X598" s="252">
        <v>22</v>
      </c>
      <c r="Y598" s="252">
        <v>5617</v>
      </c>
      <c r="Z598" s="253">
        <v>33935</v>
      </c>
      <c r="AA598" s="262">
        <v>5010</v>
      </c>
      <c r="AB598" s="272">
        <v>37208.998708261635</v>
      </c>
    </row>
    <row r="599" spans="1:28" ht="13.5" customHeight="1">
      <c r="A599" s="18">
        <v>23</v>
      </c>
      <c r="B599" s="19" t="s">
        <v>28</v>
      </c>
      <c r="C599" s="251">
        <v>0</v>
      </c>
      <c r="D599" s="252">
        <v>4</v>
      </c>
      <c r="E599" s="252">
        <v>40</v>
      </c>
      <c r="F599" s="252">
        <v>0</v>
      </c>
      <c r="G599" s="252">
        <v>555</v>
      </c>
      <c r="H599" s="252">
        <v>5772</v>
      </c>
      <c r="I599" s="252">
        <v>8482</v>
      </c>
      <c r="J599" s="252">
        <v>8211</v>
      </c>
      <c r="K599" s="252">
        <v>605</v>
      </c>
      <c r="L599" s="252">
        <v>7621</v>
      </c>
      <c r="M599" s="252">
        <v>8674</v>
      </c>
      <c r="N599" s="252">
        <v>3278</v>
      </c>
      <c r="O599" s="252">
        <v>17501</v>
      </c>
      <c r="P599" s="252">
        <v>8053</v>
      </c>
      <c r="Q599" s="252">
        <v>3316</v>
      </c>
      <c r="R599" s="252">
        <v>3559</v>
      </c>
      <c r="S599" s="252">
        <v>6327</v>
      </c>
      <c r="T599" s="252">
        <v>6679</v>
      </c>
      <c r="U599" s="252">
        <v>88677</v>
      </c>
      <c r="V599" s="253">
        <v>-612</v>
      </c>
      <c r="W599" s="254">
        <v>88065</v>
      </c>
      <c r="X599" s="252">
        <v>44</v>
      </c>
      <c r="Y599" s="252">
        <v>9037</v>
      </c>
      <c r="Z599" s="253">
        <v>79596</v>
      </c>
      <c r="AA599" s="262">
        <v>5957</v>
      </c>
      <c r="AB599" s="272">
        <v>84117.116052690806</v>
      </c>
    </row>
    <row r="600" spans="1:28" ht="13.5" customHeight="1">
      <c r="A600" s="18">
        <v>24</v>
      </c>
      <c r="B600" s="19" t="s">
        <v>29</v>
      </c>
      <c r="C600" s="251">
        <v>42</v>
      </c>
      <c r="D600" s="252">
        <v>2</v>
      </c>
      <c r="E600" s="252">
        <v>46</v>
      </c>
      <c r="F600" s="252">
        <v>38</v>
      </c>
      <c r="G600" s="252">
        <v>379</v>
      </c>
      <c r="H600" s="252">
        <v>762</v>
      </c>
      <c r="I600" s="252">
        <v>3636</v>
      </c>
      <c r="J600" s="252">
        <v>2461</v>
      </c>
      <c r="K600" s="252">
        <v>1198</v>
      </c>
      <c r="L600" s="252">
        <v>2647</v>
      </c>
      <c r="M600" s="252">
        <v>148</v>
      </c>
      <c r="N600" s="252">
        <v>557</v>
      </c>
      <c r="O600" s="252">
        <v>8036</v>
      </c>
      <c r="P600" s="252">
        <v>2070</v>
      </c>
      <c r="Q600" s="252">
        <v>1925</v>
      </c>
      <c r="R600" s="252">
        <v>4150</v>
      </c>
      <c r="S600" s="252">
        <v>12868</v>
      </c>
      <c r="T600" s="252">
        <v>3279</v>
      </c>
      <c r="U600" s="252">
        <v>44244</v>
      </c>
      <c r="V600" s="253">
        <v>-305</v>
      </c>
      <c r="W600" s="254">
        <v>43939</v>
      </c>
      <c r="X600" s="252">
        <v>90</v>
      </c>
      <c r="Y600" s="252">
        <v>4053</v>
      </c>
      <c r="Z600" s="253">
        <v>40101</v>
      </c>
      <c r="AA600" s="262">
        <v>5284</v>
      </c>
      <c r="AB600" s="272">
        <v>41826.981954916271</v>
      </c>
    </row>
    <row r="601" spans="1:28" ht="13.5" customHeight="1">
      <c r="A601" s="18">
        <v>25</v>
      </c>
      <c r="B601" s="19" t="s">
        <v>30</v>
      </c>
      <c r="C601" s="251">
        <v>99</v>
      </c>
      <c r="D601" s="252">
        <v>0</v>
      </c>
      <c r="E601" s="252">
        <v>13</v>
      </c>
      <c r="F601" s="252">
        <v>264</v>
      </c>
      <c r="G601" s="252">
        <v>7228</v>
      </c>
      <c r="H601" s="252">
        <v>-5960</v>
      </c>
      <c r="I601" s="252">
        <v>3998</v>
      </c>
      <c r="J601" s="252">
        <v>3301</v>
      </c>
      <c r="K601" s="252">
        <v>1904</v>
      </c>
      <c r="L601" s="252">
        <v>586</v>
      </c>
      <c r="M601" s="252">
        <v>708</v>
      </c>
      <c r="N601" s="252">
        <v>245</v>
      </c>
      <c r="O601" s="252">
        <v>7858</v>
      </c>
      <c r="P601" s="252">
        <v>2365</v>
      </c>
      <c r="Q601" s="252">
        <v>1773</v>
      </c>
      <c r="R601" s="252">
        <v>1882</v>
      </c>
      <c r="S601" s="252">
        <v>10497</v>
      </c>
      <c r="T601" s="252">
        <v>3944</v>
      </c>
      <c r="U601" s="252">
        <v>40705</v>
      </c>
      <c r="V601" s="253">
        <v>-281</v>
      </c>
      <c r="W601" s="254">
        <v>40424</v>
      </c>
      <c r="X601" s="252">
        <v>112</v>
      </c>
      <c r="Y601" s="252">
        <v>11490</v>
      </c>
      <c r="Z601" s="253">
        <v>29103</v>
      </c>
      <c r="AA601" s="262">
        <v>4342</v>
      </c>
      <c r="AB601" s="272">
        <v>65188.876764817054</v>
      </c>
    </row>
    <row r="602" spans="1:28" ht="13.5" customHeight="1">
      <c r="A602" s="20">
        <v>26</v>
      </c>
      <c r="B602" s="21" t="s">
        <v>31</v>
      </c>
      <c r="C602" s="255">
        <v>109</v>
      </c>
      <c r="D602" s="256">
        <v>2</v>
      </c>
      <c r="E602" s="256">
        <v>77</v>
      </c>
      <c r="F602" s="256">
        <v>75</v>
      </c>
      <c r="G602" s="256">
        <v>18768</v>
      </c>
      <c r="H602" s="256">
        <v>5694</v>
      </c>
      <c r="I602" s="256">
        <v>5241</v>
      </c>
      <c r="J602" s="256">
        <v>13838</v>
      </c>
      <c r="K602" s="256">
        <v>7742</v>
      </c>
      <c r="L602" s="256">
        <v>1265</v>
      </c>
      <c r="M602" s="256">
        <v>381</v>
      </c>
      <c r="N602" s="256">
        <v>2245</v>
      </c>
      <c r="O602" s="256">
        <v>11012</v>
      </c>
      <c r="P602" s="256">
        <v>7631</v>
      </c>
      <c r="Q602" s="256">
        <v>2730</v>
      </c>
      <c r="R602" s="256">
        <v>22087</v>
      </c>
      <c r="S602" s="256">
        <v>19360</v>
      </c>
      <c r="T602" s="256">
        <v>5773</v>
      </c>
      <c r="U602" s="256">
        <v>124030</v>
      </c>
      <c r="V602" s="257">
        <v>-856</v>
      </c>
      <c r="W602" s="258">
        <v>123174</v>
      </c>
      <c r="X602" s="256">
        <v>188</v>
      </c>
      <c r="Y602" s="256">
        <v>24084</v>
      </c>
      <c r="Z602" s="257">
        <v>99758</v>
      </c>
      <c r="AA602" s="263">
        <v>5520</v>
      </c>
      <c r="AB602" s="273">
        <v>117535.99966786479</v>
      </c>
    </row>
    <row r="603" spans="1:28" ht="13.5" customHeight="1">
      <c r="A603" s="18">
        <v>27</v>
      </c>
      <c r="B603" s="19" t="s">
        <v>32</v>
      </c>
      <c r="C603" s="247">
        <v>146</v>
      </c>
      <c r="D603" s="248">
        <v>0</v>
      </c>
      <c r="E603" s="248">
        <v>127</v>
      </c>
      <c r="F603" s="248">
        <v>38</v>
      </c>
      <c r="G603" s="248">
        <v>598</v>
      </c>
      <c r="H603" s="248">
        <v>894</v>
      </c>
      <c r="I603" s="248">
        <v>2415</v>
      </c>
      <c r="J603" s="248">
        <v>4707</v>
      </c>
      <c r="K603" s="248">
        <v>704</v>
      </c>
      <c r="L603" s="248">
        <v>1034</v>
      </c>
      <c r="M603" s="248">
        <v>115</v>
      </c>
      <c r="N603" s="248">
        <v>1357</v>
      </c>
      <c r="O603" s="248">
        <v>6678</v>
      </c>
      <c r="P603" s="248">
        <v>1753</v>
      </c>
      <c r="Q603" s="248">
        <v>3340</v>
      </c>
      <c r="R603" s="248">
        <v>5183</v>
      </c>
      <c r="S603" s="248">
        <v>6563</v>
      </c>
      <c r="T603" s="248">
        <v>2326</v>
      </c>
      <c r="U603" s="248">
        <v>37978</v>
      </c>
      <c r="V603" s="249">
        <v>-262</v>
      </c>
      <c r="W603" s="250">
        <v>37716</v>
      </c>
      <c r="X603" s="248">
        <v>273</v>
      </c>
      <c r="Y603" s="248">
        <v>3051</v>
      </c>
      <c r="Z603" s="249">
        <v>34654</v>
      </c>
      <c r="AA603" s="261">
        <v>5057</v>
      </c>
      <c r="AB603" s="271">
        <v>35621.344495365418</v>
      </c>
    </row>
    <row r="604" spans="1:28" ht="13.5" customHeight="1">
      <c r="A604" s="18">
        <v>28</v>
      </c>
      <c r="B604" s="19" t="s">
        <v>33</v>
      </c>
      <c r="C604" s="251">
        <v>526</v>
      </c>
      <c r="D604" s="252">
        <v>9</v>
      </c>
      <c r="E604" s="252">
        <v>0</v>
      </c>
      <c r="F604" s="252">
        <v>113</v>
      </c>
      <c r="G604" s="252">
        <v>3853</v>
      </c>
      <c r="H604" s="252">
        <v>3387</v>
      </c>
      <c r="I604" s="252">
        <v>6638</v>
      </c>
      <c r="J604" s="252">
        <v>12643</v>
      </c>
      <c r="K604" s="252">
        <v>3123</v>
      </c>
      <c r="L604" s="252">
        <v>2121</v>
      </c>
      <c r="M604" s="252">
        <v>388</v>
      </c>
      <c r="N604" s="252">
        <v>2026</v>
      </c>
      <c r="O604" s="252">
        <v>14575</v>
      </c>
      <c r="P604" s="252">
        <v>5473</v>
      </c>
      <c r="Q604" s="252">
        <v>3367</v>
      </c>
      <c r="R604" s="252">
        <v>6283</v>
      </c>
      <c r="S604" s="252">
        <v>25648</v>
      </c>
      <c r="T604" s="252">
        <v>6593</v>
      </c>
      <c r="U604" s="252">
        <v>96766</v>
      </c>
      <c r="V604" s="253">
        <v>-668</v>
      </c>
      <c r="W604" s="254">
        <v>96098</v>
      </c>
      <c r="X604" s="252">
        <v>535</v>
      </c>
      <c r="Y604" s="252">
        <v>10604</v>
      </c>
      <c r="Z604" s="253">
        <v>85627</v>
      </c>
      <c r="AA604" s="262">
        <v>4836</v>
      </c>
      <c r="AB604" s="272">
        <v>91298.782364468818</v>
      </c>
    </row>
    <row r="605" spans="1:28" ht="13.5" customHeight="1">
      <c r="A605" s="18">
        <v>29</v>
      </c>
      <c r="B605" s="19" t="s">
        <v>34</v>
      </c>
      <c r="C605" s="251">
        <v>1</v>
      </c>
      <c r="D605" s="252">
        <v>2</v>
      </c>
      <c r="E605" s="252">
        <v>34</v>
      </c>
      <c r="F605" s="252">
        <v>0</v>
      </c>
      <c r="G605" s="252">
        <v>14</v>
      </c>
      <c r="H605" s="252">
        <v>-26</v>
      </c>
      <c r="I605" s="252">
        <v>817</v>
      </c>
      <c r="J605" s="252">
        <v>28</v>
      </c>
      <c r="K605" s="252">
        <v>113</v>
      </c>
      <c r="L605" s="252">
        <v>358</v>
      </c>
      <c r="M605" s="252">
        <v>6</v>
      </c>
      <c r="N605" s="252">
        <v>6</v>
      </c>
      <c r="O605" s="252">
        <v>104</v>
      </c>
      <c r="P605" s="252">
        <v>135</v>
      </c>
      <c r="Q605" s="252">
        <v>480</v>
      </c>
      <c r="R605" s="252">
        <v>358</v>
      </c>
      <c r="S605" s="252">
        <v>191</v>
      </c>
      <c r="T605" s="252">
        <v>635</v>
      </c>
      <c r="U605" s="252">
        <v>3256</v>
      </c>
      <c r="V605" s="253">
        <v>-22</v>
      </c>
      <c r="W605" s="254">
        <v>3234</v>
      </c>
      <c r="X605" s="252">
        <v>37</v>
      </c>
      <c r="Y605" s="252">
        <v>831</v>
      </c>
      <c r="Z605" s="253">
        <v>2388</v>
      </c>
      <c r="AA605" s="262">
        <v>5585</v>
      </c>
      <c r="AB605" s="272">
        <v>3112.5909000269835</v>
      </c>
    </row>
    <row r="606" spans="1:28" ht="13.5" customHeight="1">
      <c r="A606" s="18">
        <v>30</v>
      </c>
      <c r="B606" s="19" t="s">
        <v>35</v>
      </c>
      <c r="C606" s="251">
        <v>1</v>
      </c>
      <c r="D606" s="252">
        <v>0</v>
      </c>
      <c r="E606" s="252">
        <v>21</v>
      </c>
      <c r="F606" s="252">
        <v>0</v>
      </c>
      <c r="G606" s="252">
        <v>29</v>
      </c>
      <c r="H606" s="252">
        <v>94</v>
      </c>
      <c r="I606" s="252">
        <v>347</v>
      </c>
      <c r="J606" s="252">
        <v>95</v>
      </c>
      <c r="K606" s="252">
        <v>298</v>
      </c>
      <c r="L606" s="252">
        <v>752</v>
      </c>
      <c r="M606" s="252">
        <v>0</v>
      </c>
      <c r="N606" s="252">
        <v>8</v>
      </c>
      <c r="O606" s="252">
        <v>183</v>
      </c>
      <c r="P606" s="252">
        <v>259</v>
      </c>
      <c r="Q606" s="252">
        <v>410</v>
      </c>
      <c r="R606" s="252">
        <v>573</v>
      </c>
      <c r="S606" s="252">
        <v>257</v>
      </c>
      <c r="T606" s="252">
        <v>983</v>
      </c>
      <c r="U606" s="252">
        <v>4310</v>
      </c>
      <c r="V606" s="253">
        <v>-29</v>
      </c>
      <c r="W606" s="254">
        <v>4281</v>
      </c>
      <c r="X606" s="252">
        <v>22</v>
      </c>
      <c r="Y606" s="252">
        <v>376</v>
      </c>
      <c r="Z606" s="253">
        <v>3912</v>
      </c>
      <c r="AA606" s="262">
        <v>5474</v>
      </c>
      <c r="AB606" s="272">
        <v>3889.8277899409736</v>
      </c>
    </row>
    <row r="607" spans="1:28" ht="13.5" customHeight="1">
      <c r="A607" s="18">
        <v>31</v>
      </c>
      <c r="B607" s="19" t="s">
        <v>36</v>
      </c>
      <c r="C607" s="251">
        <v>39</v>
      </c>
      <c r="D607" s="252">
        <v>0</v>
      </c>
      <c r="E607" s="252">
        <v>8</v>
      </c>
      <c r="F607" s="252">
        <v>0</v>
      </c>
      <c r="G607" s="252">
        <v>184</v>
      </c>
      <c r="H607" s="252">
        <v>71</v>
      </c>
      <c r="I607" s="252">
        <v>402</v>
      </c>
      <c r="J607" s="252">
        <v>25</v>
      </c>
      <c r="K607" s="252">
        <v>154</v>
      </c>
      <c r="L607" s="252">
        <v>98</v>
      </c>
      <c r="M607" s="252">
        <v>0</v>
      </c>
      <c r="N607" s="252">
        <v>3</v>
      </c>
      <c r="O607" s="252">
        <v>214</v>
      </c>
      <c r="P607" s="252">
        <v>0</v>
      </c>
      <c r="Q607" s="252">
        <v>510</v>
      </c>
      <c r="R607" s="252">
        <v>268</v>
      </c>
      <c r="S607" s="252">
        <v>426</v>
      </c>
      <c r="T607" s="252">
        <v>89</v>
      </c>
      <c r="U607" s="252">
        <v>2491</v>
      </c>
      <c r="V607" s="253">
        <v>-17</v>
      </c>
      <c r="W607" s="254">
        <v>2474</v>
      </c>
      <c r="X607" s="252">
        <v>47</v>
      </c>
      <c r="Y607" s="252">
        <v>586</v>
      </c>
      <c r="Z607" s="253">
        <v>1858</v>
      </c>
      <c r="AA607" s="262">
        <v>5522</v>
      </c>
      <c r="AB607" s="272">
        <v>2402.0811444250862</v>
      </c>
    </row>
    <row r="608" spans="1:28" ht="13.5" customHeight="1">
      <c r="A608" s="18">
        <v>32</v>
      </c>
      <c r="B608" s="19" t="s">
        <v>37</v>
      </c>
      <c r="C608" s="251">
        <v>0</v>
      </c>
      <c r="D608" s="252">
        <v>0</v>
      </c>
      <c r="E608" s="252">
        <v>58</v>
      </c>
      <c r="F608" s="252">
        <v>0</v>
      </c>
      <c r="G608" s="252">
        <v>0</v>
      </c>
      <c r="H608" s="252">
        <v>-25</v>
      </c>
      <c r="I608" s="252">
        <v>330</v>
      </c>
      <c r="J608" s="252">
        <v>16</v>
      </c>
      <c r="K608" s="252">
        <v>31</v>
      </c>
      <c r="L608" s="252">
        <v>42</v>
      </c>
      <c r="M608" s="252">
        <v>0</v>
      </c>
      <c r="N608" s="252">
        <v>19</v>
      </c>
      <c r="O608" s="252">
        <v>55</v>
      </c>
      <c r="P608" s="252">
        <v>0</v>
      </c>
      <c r="Q608" s="252">
        <v>223</v>
      </c>
      <c r="R608" s="252">
        <v>199</v>
      </c>
      <c r="S608" s="252">
        <v>121</v>
      </c>
      <c r="T608" s="252">
        <v>14</v>
      </c>
      <c r="U608" s="252">
        <v>1083</v>
      </c>
      <c r="V608" s="253">
        <v>-8</v>
      </c>
      <c r="W608" s="254">
        <v>1075</v>
      </c>
      <c r="X608" s="252">
        <v>58</v>
      </c>
      <c r="Y608" s="252">
        <v>330</v>
      </c>
      <c r="Z608" s="253">
        <v>695</v>
      </c>
      <c r="AA608" s="262">
        <v>4167</v>
      </c>
      <c r="AB608" s="272">
        <v>1017.8647579640713</v>
      </c>
    </row>
    <row r="609" spans="1:28" ht="13.5" customHeight="1">
      <c r="A609" s="18">
        <v>33</v>
      </c>
      <c r="B609" s="19" t="s">
        <v>38</v>
      </c>
      <c r="C609" s="251">
        <v>781</v>
      </c>
      <c r="D609" s="252">
        <v>6</v>
      </c>
      <c r="E609" s="252">
        <v>30</v>
      </c>
      <c r="F609" s="252">
        <v>151</v>
      </c>
      <c r="G609" s="252">
        <v>1508</v>
      </c>
      <c r="H609" s="252">
        <v>76</v>
      </c>
      <c r="I609" s="252">
        <v>860</v>
      </c>
      <c r="J609" s="252">
        <v>224</v>
      </c>
      <c r="K609" s="252">
        <v>144</v>
      </c>
      <c r="L609" s="252">
        <v>156</v>
      </c>
      <c r="M609" s="252">
        <v>0</v>
      </c>
      <c r="N609" s="252">
        <v>3</v>
      </c>
      <c r="O609" s="252">
        <v>103</v>
      </c>
      <c r="P609" s="252">
        <v>120</v>
      </c>
      <c r="Q609" s="252">
        <v>780</v>
      </c>
      <c r="R609" s="252">
        <v>328</v>
      </c>
      <c r="S609" s="252">
        <v>217</v>
      </c>
      <c r="T609" s="252">
        <v>162</v>
      </c>
      <c r="U609" s="252">
        <v>5649</v>
      </c>
      <c r="V609" s="253">
        <v>-39</v>
      </c>
      <c r="W609" s="254">
        <v>5610</v>
      </c>
      <c r="X609" s="252">
        <v>817</v>
      </c>
      <c r="Y609" s="252">
        <v>2519</v>
      </c>
      <c r="Z609" s="253">
        <v>2313</v>
      </c>
      <c r="AA609" s="262">
        <v>4934</v>
      </c>
      <c r="AB609" s="272">
        <v>5417.0658153115919</v>
      </c>
    </row>
    <row r="610" spans="1:28" ht="13.5" customHeight="1">
      <c r="A610" s="18">
        <v>34</v>
      </c>
      <c r="B610" s="19" t="s">
        <v>39</v>
      </c>
      <c r="C610" s="251">
        <v>224</v>
      </c>
      <c r="D610" s="252">
        <v>0</v>
      </c>
      <c r="E610" s="252">
        <v>13</v>
      </c>
      <c r="F610" s="252">
        <v>0</v>
      </c>
      <c r="G610" s="252">
        <v>85</v>
      </c>
      <c r="H610" s="252">
        <v>28</v>
      </c>
      <c r="I610" s="252">
        <v>1217</v>
      </c>
      <c r="J610" s="252">
        <v>57</v>
      </c>
      <c r="K610" s="252">
        <v>89</v>
      </c>
      <c r="L610" s="252">
        <v>287</v>
      </c>
      <c r="M610" s="252">
        <v>0</v>
      </c>
      <c r="N610" s="252">
        <v>2</v>
      </c>
      <c r="O610" s="252">
        <v>35</v>
      </c>
      <c r="P610" s="252">
        <v>79</v>
      </c>
      <c r="Q610" s="252">
        <v>441</v>
      </c>
      <c r="R610" s="252">
        <v>324</v>
      </c>
      <c r="S610" s="252">
        <v>175</v>
      </c>
      <c r="T610" s="252">
        <v>81</v>
      </c>
      <c r="U610" s="252">
        <v>3137</v>
      </c>
      <c r="V610" s="253">
        <v>-22</v>
      </c>
      <c r="W610" s="254">
        <v>3115</v>
      </c>
      <c r="X610" s="252">
        <v>237</v>
      </c>
      <c r="Y610" s="252">
        <v>1302</v>
      </c>
      <c r="Z610" s="253">
        <v>1598</v>
      </c>
      <c r="AA610" s="262">
        <v>5352</v>
      </c>
      <c r="AB610" s="272">
        <v>2988.7644566342433</v>
      </c>
    </row>
    <row r="611" spans="1:28" ht="13.5" customHeight="1">
      <c r="A611" s="18">
        <v>35</v>
      </c>
      <c r="B611" s="19" t="s">
        <v>40</v>
      </c>
      <c r="C611" s="251">
        <v>104</v>
      </c>
      <c r="D611" s="252">
        <v>4</v>
      </c>
      <c r="E611" s="252">
        <v>59</v>
      </c>
      <c r="F611" s="252">
        <v>38</v>
      </c>
      <c r="G611" s="252">
        <v>234</v>
      </c>
      <c r="H611" s="252">
        <v>139</v>
      </c>
      <c r="I611" s="252">
        <v>1615</v>
      </c>
      <c r="J611" s="252">
        <v>211</v>
      </c>
      <c r="K611" s="252">
        <v>232</v>
      </c>
      <c r="L611" s="252">
        <v>129</v>
      </c>
      <c r="M611" s="252">
        <v>0</v>
      </c>
      <c r="N611" s="252">
        <v>20</v>
      </c>
      <c r="O611" s="252">
        <v>144</v>
      </c>
      <c r="P611" s="252">
        <v>80</v>
      </c>
      <c r="Q611" s="252">
        <v>629</v>
      </c>
      <c r="R611" s="252">
        <v>489</v>
      </c>
      <c r="S611" s="252">
        <v>377</v>
      </c>
      <c r="T611" s="252">
        <v>132</v>
      </c>
      <c r="U611" s="252">
        <v>4636</v>
      </c>
      <c r="V611" s="253">
        <v>-32</v>
      </c>
      <c r="W611" s="254">
        <v>4604</v>
      </c>
      <c r="X611" s="252">
        <v>167</v>
      </c>
      <c r="Y611" s="252">
        <v>1887</v>
      </c>
      <c r="Z611" s="253">
        <v>2582</v>
      </c>
      <c r="AA611" s="262">
        <v>5268</v>
      </c>
      <c r="AB611" s="272">
        <v>4246.6333809143289</v>
      </c>
    </row>
    <row r="612" spans="1:28" ht="13.5" customHeight="1">
      <c r="A612" s="18">
        <v>36</v>
      </c>
      <c r="B612" s="19" t="s">
        <v>41</v>
      </c>
      <c r="C612" s="251">
        <v>293</v>
      </c>
      <c r="D612" s="252">
        <v>0</v>
      </c>
      <c r="E612" s="252">
        <v>80</v>
      </c>
      <c r="F612" s="252">
        <v>0</v>
      </c>
      <c r="G612" s="252">
        <v>111</v>
      </c>
      <c r="H612" s="252">
        <v>99</v>
      </c>
      <c r="I612" s="252">
        <v>700</v>
      </c>
      <c r="J612" s="252">
        <v>161</v>
      </c>
      <c r="K612" s="252">
        <v>411</v>
      </c>
      <c r="L612" s="252">
        <v>164</v>
      </c>
      <c r="M612" s="252">
        <v>0</v>
      </c>
      <c r="N612" s="252">
        <v>19</v>
      </c>
      <c r="O612" s="252">
        <v>247</v>
      </c>
      <c r="P612" s="252">
        <v>35</v>
      </c>
      <c r="Q612" s="252">
        <v>721</v>
      </c>
      <c r="R612" s="252">
        <v>399</v>
      </c>
      <c r="S612" s="252">
        <v>410</v>
      </c>
      <c r="T612" s="252">
        <v>134</v>
      </c>
      <c r="U612" s="252">
        <v>3984</v>
      </c>
      <c r="V612" s="253">
        <v>-27</v>
      </c>
      <c r="W612" s="254">
        <v>3957</v>
      </c>
      <c r="X612" s="252">
        <v>373</v>
      </c>
      <c r="Y612" s="252">
        <v>811</v>
      </c>
      <c r="Z612" s="253">
        <v>2800</v>
      </c>
      <c r="AA612" s="262">
        <v>4196</v>
      </c>
      <c r="AB612" s="272">
        <v>3657.2554676082236</v>
      </c>
    </row>
    <row r="613" spans="1:28" ht="13.5" customHeight="1">
      <c r="A613" s="18">
        <v>37</v>
      </c>
      <c r="B613" s="19" t="s">
        <v>49</v>
      </c>
      <c r="C613" s="251">
        <v>915</v>
      </c>
      <c r="D613" s="252">
        <v>0</v>
      </c>
      <c r="E613" s="252">
        <v>366</v>
      </c>
      <c r="F613" s="252">
        <v>75</v>
      </c>
      <c r="G613" s="252">
        <v>1162</v>
      </c>
      <c r="H613" s="252">
        <v>534</v>
      </c>
      <c r="I613" s="252">
        <v>2045</v>
      </c>
      <c r="J613" s="252">
        <v>1236</v>
      </c>
      <c r="K613" s="252">
        <v>820</v>
      </c>
      <c r="L613" s="252">
        <v>942</v>
      </c>
      <c r="M613" s="252">
        <v>0</v>
      </c>
      <c r="N613" s="252">
        <v>235</v>
      </c>
      <c r="O613" s="252">
        <v>1946</v>
      </c>
      <c r="P613" s="252">
        <v>1172</v>
      </c>
      <c r="Q613" s="252">
        <v>3858</v>
      </c>
      <c r="R613" s="252">
        <v>1877</v>
      </c>
      <c r="S613" s="252">
        <v>1991</v>
      </c>
      <c r="T613" s="252">
        <v>1143</v>
      </c>
      <c r="U613" s="252">
        <v>20317</v>
      </c>
      <c r="V613" s="253">
        <v>-141</v>
      </c>
      <c r="W613" s="254">
        <v>20176</v>
      </c>
      <c r="X613" s="252">
        <v>1281</v>
      </c>
      <c r="Y613" s="252">
        <v>3282</v>
      </c>
      <c r="Z613" s="253">
        <v>15754</v>
      </c>
      <c r="AA613" s="262">
        <v>4441</v>
      </c>
      <c r="AB613" s="272">
        <v>19665.334798923846</v>
      </c>
    </row>
    <row r="614" spans="1:28" ht="13.5" customHeight="1">
      <c r="A614" s="20">
        <v>38</v>
      </c>
      <c r="B614" s="21" t="s">
        <v>50</v>
      </c>
      <c r="C614" s="255">
        <v>1998</v>
      </c>
      <c r="D614" s="256">
        <v>0</v>
      </c>
      <c r="E614" s="256">
        <v>126</v>
      </c>
      <c r="F614" s="256">
        <v>113</v>
      </c>
      <c r="G614" s="256">
        <v>1842</v>
      </c>
      <c r="H614" s="256">
        <v>1755</v>
      </c>
      <c r="I614" s="256">
        <v>6582</v>
      </c>
      <c r="J614" s="256">
        <v>3306</v>
      </c>
      <c r="K614" s="256">
        <v>2074</v>
      </c>
      <c r="L614" s="256">
        <v>679</v>
      </c>
      <c r="M614" s="256">
        <v>937</v>
      </c>
      <c r="N614" s="256">
        <v>975</v>
      </c>
      <c r="O614" s="256">
        <v>9619</v>
      </c>
      <c r="P614" s="256">
        <v>3592</v>
      </c>
      <c r="Q614" s="256">
        <v>6411</v>
      </c>
      <c r="R614" s="256">
        <v>6667</v>
      </c>
      <c r="S614" s="256">
        <v>12216</v>
      </c>
      <c r="T614" s="256">
        <v>3062</v>
      </c>
      <c r="U614" s="256">
        <v>61954</v>
      </c>
      <c r="V614" s="257">
        <v>-428</v>
      </c>
      <c r="W614" s="258">
        <v>61526</v>
      </c>
      <c r="X614" s="256">
        <v>2124</v>
      </c>
      <c r="Y614" s="256">
        <v>8537</v>
      </c>
      <c r="Z614" s="257">
        <v>51293</v>
      </c>
      <c r="AA614" s="263">
        <v>5127</v>
      </c>
      <c r="AB614" s="273">
        <v>58944.541535927441</v>
      </c>
    </row>
    <row r="615" spans="1:28" ht="13.5" customHeight="1">
      <c r="A615" s="20">
        <v>39</v>
      </c>
      <c r="B615" s="21" t="s">
        <v>42</v>
      </c>
      <c r="C615" s="243">
        <v>449</v>
      </c>
      <c r="D615" s="244">
        <v>0</v>
      </c>
      <c r="E615" s="244">
        <v>1</v>
      </c>
      <c r="F615" s="244">
        <v>0</v>
      </c>
      <c r="G615" s="244">
        <v>1055</v>
      </c>
      <c r="H615" s="244">
        <v>70</v>
      </c>
      <c r="I615" s="244">
        <v>812</v>
      </c>
      <c r="J615" s="244">
        <v>115</v>
      </c>
      <c r="K615" s="244">
        <v>170</v>
      </c>
      <c r="L615" s="244">
        <v>119</v>
      </c>
      <c r="M615" s="244">
        <v>0</v>
      </c>
      <c r="N615" s="244">
        <v>3</v>
      </c>
      <c r="O615" s="244">
        <v>206</v>
      </c>
      <c r="P615" s="244">
        <v>97</v>
      </c>
      <c r="Q615" s="244">
        <v>563</v>
      </c>
      <c r="R615" s="244">
        <v>391</v>
      </c>
      <c r="S615" s="244">
        <v>164</v>
      </c>
      <c r="T615" s="244">
        <v>111</v>
      </c>
      <c r="U615" s="244">
        <v>4326</v>
      </c>
      <c r="V615" s="245">
        <v>-30</v>
      </c>
      <c r="W615" s="246">
        <v>4296</v>
      </c>
      <c r="X615" s="244">
        <v>450</v>
      </c>
      <c r="Y615" s="244">
        <v>1867</v>
      </c>
      <c r="Z615" s="245">
        <v>2009</v>
      </c>
      <c r="AA615" s="260">
        <v>5438</v>
      </c>
      <c r="AB615" s="270">
        <v>4290.4817760779069</v>
      </c>
    </row>
    <row r="616" spans="1:28" ht="13.5" customHeight="1">
      <c r="A616" s="18">
        <v>40</v>
      </c>
      <c r="B616" s="19" t="s">
        <v>43</v>
      </c>
      <c r="C616" s="247">
        <v>782</v>
      </c>
      <c r="D616" s="248">
        <v>9</v>
      </c>
      <c r="E616" s="248">
        <v>107</v>
      </c>
      <c r="F616" s="248">
        <v>0</v>
      </c>
      <c r="G616" s="248">
        <v>1328</v>
      </c>
      <c r="H616" s="248">
        <v>224</v>
      </c>
      <c r="I616" s="248">
        <v>1535</v>
      </c>
      <c r="J616" s="248">
        <v>360</v>
      </c>
      <c r="K616" s="248">
        <v>1008</v>
      </c>
      <c r="L616" s="248">
        <v>2903</v>
      </c>
      <c r="M616" s="248">
        <v>0</v>
      </c>
      <c r="N616" s="248">
        <v>18</v>
      </c>
      <c r="O616" s="248">
        <v>1066</v>
      </c>
      <c r="P616" s="248">
        <v>995</v>
      </c>
      <c r="Q616" s="248">
        <v>707</v>
      </c>
      <c r="R616" s="248">
        <v>2189</v>
      </c>
      <c r="S616" s="248">
        <v>486</v>
      </c>
      <c r="T616" s="248">
        <v>2407</v>
      </c>
      <c r="U616" s="248">
        <v>16124</v>
      </c>
      <c r="V616" s="249">
        <v>-111</v>
      </c>
      <c r="W616" s="250">
        <v>16013</v>
      </c>
      <c r="X616" s="248">
        <v>898</v>
      </c>
      <c r="Y616" s="248">
        <v>2863</v>
      </c>
      <c r="Z616" s="249">
        <v>12363</v>
      </c>
      <c r="AA616" s="261">
        <v>5136</v>
      </c>
      <c r="AB616" s="271">
        <v>14921.118917433314</v>
      </c>
    </row>
    <row r="617" spans="1:28" ht="13.5" customHeight="1">
      <c r="A617" s="20">
        <v>41</v>
      </c>
      <c r="B617" s="21" t="s">
        <v>44</v>
      </c>
      <c r="C617" s="255">
        <v>101</v>
      </c>
      <c r="D617" s="256">
        <v>0</v>
      </c>
      <c r="E617" s="256">
        <v>101</v>
      </c>
      <c r="F617" s="256">
        <v>189</v>
      </c>
      <c r="G617" s="256">
        <v>632</v>
      </c>
      <c r="H617" s="256">
        <v>-7</v>
      </c>
      <c r="I617" s="256">
        <v>2450</v>
      </c>
      <c r="J617" s="256">
        <v>176</v>
      </c>
      <c r="K617" s="256">
        <v>291</v>
      </c>
      <c r="L617" s="256">
        <v>390</v>
      </c>
      <c r="M617" s="256">
        <v>0</v>
      </c>
      <c r="N617" s="256">
        <v>20</v>
      </c>
      <c r="O617" s="256">
        <v>339</v>
      </c>
      <c r="P617" s="256">
        <v>339</v>
      </c>
      <c r="Q617" s="256">
        <v>2990</v>
      </c>
      <c r="R617" s="256">
        <v>731</v>
      </c>
      <c r="S617" s="256">
        <v>464</v>
      </c>
      <c r="T617" s="256">
        <v>259</v>
      </c>
      <c r="U617" s="256">
        <v>9465</v>
      </c>
      <c r="V617" s="257">
        <v>-65</v>
      </c>
      <c r="W617" s="258">
        <v>9400</v>
      </c>
      <c r="X617" s="256">
        <v>202</v>
      </c>
      <c r="Y617" s="256">
        <v>3271</v>
      </c>
      <c r="Z617" s="257">
        <v>5992</v>
      </c>
      <c r="AA617" s="263">
        <v>6601</v>
      </c>
      <c r="AB617" s="273">
        <v>8932.8743430766954</v>
      </c>
    </row>
    <row r="618" spans="1:28" ht="15.75" customHeight="1">
      <c r="A618" s="111" t="s">
        <v>146</v>
      </c>
      <c r="B618" s="7" t="s">
        <v>139</v>
      </c>
      <c r="C618" s="247">
        <v>9677</v>
      </c>
      <c r="D618" s="248">
        <v>190</v>
      </c>
      <c r="E618" s="248">
        <v>1855</v>
      </c>
      <c r="F618" s="248">
        <v>4531</v>
      </c>
      <c r="G618" s="248">
        <v>12695</v>
      </c>
      <c r="H618" s="248">
        <v>5850</v>
      </c>
      <c r="I618" s="248">
        <v>68036</v>
      </c>
      <c r="J618" s="248">
        <v>22880</v>
      </c>
      <c r="K618" s="248">
        <v>18853</v>
      </c>
      <c r="L618" s="248">
        <v>33617</v>
      </c>
      <c r="M618" s="248">
        <v>3964</v>
      </c>
      <c r="N618" s="248">
        <v>6887</v>
      </c>
      <c r="O618" s="248">
        <v>46301</v>
      </c>
      <c r="P618" s="248">
        <v>26906</v>
      </c>
      <c r="Q618" s="248">
        <v>33472</v>
      </c>
      <c r="R618" s="248">
        <v>37481</v>
      </c>
      <c r="S618" s="248">
        <v>54453</v>
      </c>
      <c r="T618" s="248">
        <v>27256</v>
      </c>
      <c r="U618" s="248">
        <v>414904</v>
      </c>
      <c r="V618" s="249">
        <v>-2863</v>
      </c>
      <c r="W618" s="250">
        <v>412041</v>
      </c>
      <c r="X618" s="248">
        <v>11722</v>
      </c>
      <c r="Y618" s="248">
        <v>85262</v>
      </c>
      <c r="Z618" s="249">
        <v>317920</v>
      </c>
      <c r="AA618" s="261">
        <v>5205</v>
      </c>
      <c r="AB618" s="271">
        <v>409379.78310555941</v>
      </c>
    </row>
    <row r="619" spans="1:28" ht="15.75" customHeight="1">
      <c r="A619" s="112" t="s">
        <v>147</v>
      </c>
      <c r="B619" s="17" t="s">
        <v>140</v>
      </c>
      <c r="C619" s="251">
        <v>3285</v>
      </c>
      <c r="D619" s="252">
        <v>16</v>
      </c>
      <c r="E619" s="252">
        <v>1350</v>
      </c>
      <c r="F619" s="252">
        <v>2528</v>
      </c>
      <c r="G619" s="252">
        <v>94965</v>
      </c>
      <c r="H619" s="252">
        <v>31885</v>
      </c>
      <c r="I619" s="252">
        <v>155151</v>
      </c>
      <c r="J619" s="252">
        <v>183760</v>
      </c>
      <c r="K619" s="252">
        <v>69236</v>
      </c>
      <c r="L619" s="252">
        <v>42820</v>
      </c>
      <c r="M619" s="252">
        <v>58919</v>
      </c>
      <c r="N619" s="252">
        <v>47948</v>
      </c>
      <c r="O619" s="252">
        <v>255965</v>
      </c>
      <c r="P619" s="252">
        <v>178547</v>
      </c>
      <c r="Q619" s="252">
        <v>105707</v>
      </c>
      <c r="R619" s="252">
        <v>109097</v>
      </c>
      <c r="S619" s="252">
        <v>220189</v>
      </c>
      <c r="T619" s="252">
        <v>97750</v>
      </c>
      <c r="U619" s="252">
        <v>1659118</v>
      </c>
      <c r="V619" s="253">
        <v>-11450</v>
      </c>
      <c r="W619" s="254">
        <v>1647668</v>
      </c>
      <c r="X619" s="252">
        <v>4651</v>
      </c>
      <c r="Y619" s="252">
        <v>252644</v>
      </c>
      <c r="Z619" s="253">
        <v>1401823</v>
      </c>
      <c r="AA619" s="262">
        <v>5889</v>
      </c>
      <c r="AB619" s="272">
        <v>1636744.2938952034</v>
      </c>
    </row>
    <row r="620" spans="1:28" ht="15.75" customHeight="1">
      <c r="A620" s="112" t="s">
        <v>148</v>
      </c>
      <c r="B620" s="17" t="s">
        <v>141</v>
      </c>
      <c r="C620" s="251">
        <v>9632</v>
      </c>
      <c r="D620" s="252">
        <v>23</v>
      </c>
      <c r="E620" s="252">
        <v>1998</v>
      </c>
      <c r="F620" s="252">
        <v>2000</v>
      </c>
      <c r="G620" s="252">
        <v>44241</v>
      </c>
      <c r="H620" s="252">
        <v>16772</v>
      </c>
      <c r="I620" s="252">
        <v>57713</v>
      </c>
      <c r="J620" s="252">
        <v>53718</v>
      </c>
      <c r="K620" s="252">
        <v>33928</v>
      </c>
      <c r="L620" s="252">
        <v>18190</v>
      </c>
      <c r="M620" s="252">
        <v>11570</v>
      </c>
      <c r="N620" s="252">
        <v>10334</v>
      </c>
      <c r="O620" s="252">
        <v>91162</v>
      </c>
      <c r="P620" s="252">
        <v>44693</v>
      </c>
      <c r="Q620" s="252">
        <v>45912</v>
      </c>
      <c r="R620" s="252">
        <v>46536</v>
      </c>
      <c r="S620" s="252">
        <v>109861</v>
      </c>
      <c r="T620" s="252">
        <v>37221</v>
      </c>
      <c r="U620" s="252">
        <v>635504</v>
      </c>
      <c r="V620" s="253">
        <v>-4385</v>
      </c>
      <c r="W620" s="254">
        <v>631119</v>
      </c>
      <c r="X620" s="252">
        <v>11653</v>
      </c>
      <c r="Y620" s="252">
        <v>103954</v>
      </c>
      <c r="Z620" s="253">
        <v>519897</v>
      </c>
      <c r="AA620" s="262">
        <v>5107</v>
      </c>
      <c r="AB620" s="272">
        <v>600732.70950231806</v>
      </c>
    </row>
    <row r="621" spans="1:28" ht="15.75" customHeight="1">
      <c r="A621" s="112" t="s">
        <v>149</v>
      </c>
      <c r="B621" s="17" t="s">
        <v>142</v>
      </c>
      <c r="C621" s="251">
        <v>244</v>
      </c>
      <c r="D621" s="252">
        <v>45</v>
      </c>
      <c r="E621" s="252">
        <v>1650</v>
      </c>
      <c r="F621" s="252">
        <v>755</v>
      </c>
      <c r="G621" s="252">
        <v>13029</v>
      </c>
      <c r="H621" s="252">
        <v>26856</v>
      </c>
      <c r="I621" s="252">
        <v>64222</v>
      </c>
      <c r="J621" s="252">
        <v>122378</v>
      </c>
      <c r="K621" s="252">
        <v>106527</v>
      </c>
      <c r="L621" s="252">
        <v>47041</v>
      </c>
      <c r="M621" s="252">
        <v>94050</v>
      </c>
      <c r="N621" s="252">
        <v>104059</v>
      </c>
      <c r="O621" s="252">
        <v>157814</v>
      </c>
      <c r="P621" s="252">
        <v>206413</v>
      </c>
      <c r="Q621" s="252">
        <v>204635</v>
      </c>
      <c r="R621" s="252">
        <v>45359</v>
      </c>
      <c r="S621" s="252">
        <v>129223</v>
      </c>
      <c r="T621" s="252">
        <v>61166</v>
      </c>
      <c r="U621" s="252">
        <v>1385466</v>
      </c>
      <c r="V621" s="253">
        <v>-9559</v>
      </c>
      <c r="W621" s="254">
        <v>1375907</v>
      </c>
      <c r="X621" s="252">
        <v>1939</v>
      </c>
      <c r="Y621" s="252">
        <v>78006</v>
      </c>
      <c r="Z621" s="253">
        <v>1305521</v>
      </c>
      <c r="AA621" s="262">
        <v>7006</v>
      </c>
      <c r="AB621" s="272">
        <v>1315522.1725521765</v>
      </c>
    </row>
    <row r="622" spans="1:28" ht="15.75" customHeight="1">
      <c r="A622" s="112" t="s">
        <v>150</v>
      </c>
      <c r="B622" s="17" t="s">
        <v>143</v>
      </c>
      <c r="C622" s="251">
        <v>5153</v>
      </c>
      <c r="D622" s="252">
        <v>56</v>
      </c>
      <c r="E622" s="252">
        <v>490</v>
      </c>
      <c r="F622" s="252">
        <v>491</v>
      </c>
      <c r="G622" s="252">
        <v>8182</v>
      </c>
      <c r="H622" s="252">
        <v>3501</v>
      </c>
      <c r="I622" s="252">
        <v>18086</v>
      </c>
      <c r="J622" s="252">
        <v>18507</v>
      </c>
      <c r="K622" s="252">
        <v>10101</v>
      </c>
      <c r="L622" s="252">
        <v>10044</v>
      </c>
      <c r="M622" s="252">
        <v>1963</v>
      </c>
      <c r="N622" s="252">
        <v>3152</v>
      </c>
      <c r="O622" s="252">
        <v>19139</v>
      </c>
      <c r="P622" s="252">
        <v>15135</v>
      </c>
      <c r="Q622" s="252">
        <v>26876</v>
      </c>
      <c r="R622" s="252">
        <v>10947</v>
      </c>
      <c r="S622" s="252">
        <v>20925</v>
      </c>
      <c r="T622" s="252">
        <v>8663</v>
      </c>
      <c r="U622" s="252">
        <v>181411</v>
      </c>
      <c r="V622" s="253">
        <v>-1252</v>
      </c>
      <c r="W622" s="254">
        <v>180159</v>
      </c>
      <c r="X622" s="252">
        <v>5699</v>
      </c>
      <c r="Y622" s="252">
        <v>26759</v>
      </c>
      <c r="Z622" s="253">
        <v>148953</v>
      </c>
      <c r="AA622" s="262">
        <v>5529</v>
      </c>
      <c r="AB622" s="272">
        <v>174185.9804262782</v>
      </c>
    </row>
    <row r="623" spans="1:28" ht="15.75" customHeight="1">
      <c r="A623" s="113" t="s">
        <v>151</v>
      </c>
      <c r="B623" s="105" t="s">
        <v>144</v>
      </c>
      <c r="C623" s="255">
        <v>4234</v>
      </c>
      <c r="D623" s="256">
        <v>30</v>
      </c>
      <c r="E623" s="256">
        <v>719</v>
      </c>
      <c r="F623" s="256">
        <v>604</v>
      </c>
      <c r="G623" s="256">
        <v>5817</v>
      </c>
      <c r="H623" s="256">
        <v>3310</v>
      </c>
      <c r="I623" s="256">
        <v>25945</v>
      </c>
      <c r="J623" s="256">
        <v>12709</v>
      </c>
      <c r="K623" s="256">
        <v>14714</v>
      </c>
      <c r="L623" s="256">
        <v>14143</v>
      </c>
      <c r="M623" s="256">
        <v>1354</v>
      </c>
      <c r="N623" s="256">
        <v>3055</v>
      </c>
      <c r="O623" s="256">
        <v>20132</v>
      </c>
      <c r="P623" s="256">
        <v>17673</v>
      </c>
      <c r="Q623" s="256">
        <v>24544</v>
      </c>
      <c r="R623" s="256">
        <v>12729</v>
      </c>
      <c r="S623" s="256">
        <v>15650</v>
      </c>
      <c r="T623" s="256">
        <v>11962</v>
      </c>
      <c r="U623" s="256">
        <v>189324</v>
      </c>
      <c r="V623" s="257">
        <v>-1306</v>
      </c>
      <c r="W623" s="258">
        <v>188018</v>
      </c>
      <c r="X623" s="256">
        <v>4983</v>
      </c>
      <c r="Y623" s="256">
        <v>32366</v>
      </c>
      <c r="Z623" s="257">
        <v>151975</v>
      </c>
      <c r="AA623" s="263">
        <v>6381</v>
      </c>
      <c r="AB623" s="273">
        <v>181141.73258184537</v>
      </c>
    </row>
    <row r="624" spans="1:28" ht="15.75" customHeight="1">
      <c r="A624" s="222" t="s">
        <v>293</v>
      </c>
      <c r="B624" s="25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</row>
    <row r="625" spans="1:28" ht="15.75" customHeight="1">
      <c r="A625" s="222" t="s">
        <v>292</v>
      </c>
    </row>
    <row r="626" spans="1:28" ht="13.5" customHeight="1">
      <c r="A626" s="55">
        <f>A574+1</f>
        <v>5</v>
      </c>
      <c r="B626" s="50" t="str">
        <f>IF(A626&lt;22,"令和"&amp;A626&amp;"年度","平成"&amp;A626&amp;"年度")</f>
        <v>令和5年度</v>
      </c>
      <c r="C626" s="56" t="str">
        <f>C$2</f>
        <v>経済活動別市町村内総生産（百万円）</v>
      </c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1"/>
      <c r="Y626" s="2"/>
      <c r="Z626" s="57"/>
      <c r="AA626" s="57"/>
      <c r="AB626" s="57"/>
    </row>
    <row r="627" spans="1:28" ht="45" customHeight="1">
      <c r="A627" s="186"/>
      <c r="B627" s="76"/>
      <c r="C627" s="77" t="s">
        <v>51</v>
      </c>
      <c r="D627" s="77" t="s">
        <v>52</v>
      </c>
      <c r="E627" s="77" t="s">
        <v>53</v>
      </c>
      <c r="F627" s="77" t="s">
        <v>54</v>
      </c>
      <c r="G627" s="77" t="s">
        <v>55</v>
      </c>
      <c r="H627" s="77" t="s">
        <v>56</v>
      </c>
      <c r="I627" s="77" t="s">
        <v>57</v>
      </c>
      <c r="J627" s="77" t="s">
        <v>58</v>
      </c>
      <c r="K627" s="77" t="s">
        <v>59</v>
      </c>
      <c r="L627" s="77" t="s">
        <v>60</v>
      </c>
      <c r="M627" s="77" t="s">
        <v>61</v>
      </c>
      <c r="N627" s="77" t="s">
        <v>62</v>
      </c>
      <c r="O627" s="77" t="s">
        <v>63</v>
      </c>
      <c r="P627" s="77" t="s">
        <v>64</v>
      </c>
      <c r="Q627" s="77" t="s">
        <v>65</v>
      </c>
      <c r="R627" s="77" t="s">
        <v>66</v>
      </c>
      <c r="S627" s="77" t="s">
        <v>67</v>
      </c>
      <c r="T627" s="77" t="s">
        <v>68</v>
      </c>
      <c r="U627" s="77" t="s">
        <v>70</v>
      </c>
      <c r="V627" s="78" t="s">
        <v>69</v>
      </c>
      <c r="W627" s="79" t="s">
        <v>71</v>
      </c>
      <c r="X627" s="77" t="s">
        <v>72</v>
      </c>
      <c r="Y627" s="77" t="s">
        <v>73</v>
      </c>
      <c r="Z627" s="77" t="s">
        <v>74</v>
      </c>
      <c r="AA627" s="259" t="s">
        <v>277</v>
      </c>
      <c r="AB627" s="269" t="s">
        <v>278</v>
      </c>
    </row>
    <row r="628" spans="1:28" ht="13.5" customHeight="1">
      <c r="A628" s="153" t="s">
        <v>160</v>
      </c>
      <c r="B628" s="22" t="s">
        <v>0</v>
      </c>
      <c r="C628" s="243">
        <v>34275</v>
      </c>
      <c r="D628" s="244">
        <v>353</v>
      </c>
      <c r="E628" s="244">
        <v>9348</v>
      </c>
      <c r="F628" s="244">
        <v>10846</v>
      </c>
      <c r="G628" s="244">
        <v>199105</v>
      </c>
      <c r="H628" s="244">
        <v>133850</v>
      </c>
      <c r="I628" s="244">
        <v>380970</v>
      </c>
      <c r="J628" s="244">
        <v>433103</v>
      </c>
      <c r="K628" s="244">
        <v>313364</v>
      </c>
      <c r="L628" s="244">
        <v>223046</v>
      </c>
      <c r="M628" s="244">
        <v>174380</v>
      </c>
      <c r="N628" s="244">
        <v>184172</v>
      </c>
      <c r="O628" s="244">
        <v>589201</v>
      </c>
      <c r="P628" s="244">
        <v>474326</v>
      </c>
      <c r="Q628" s="244">
        <v>459420</v>
      </c>
      <c r="R628" s="244">
        <v>261094</v>
      </c>
      <c r="S628" s="244">
        <v>559111</v>
      </c>
      <c r="T628" s="244">
        <v>235553</v>
      </c>
      <c r="U628" s="244">
        <v>4675517</v>
      </c>
      <c r="V628" s="245">
        <v>-32557</v>
      </c>
      <c r="W628" s="246">
        <v>4642960</v>
      </c>
      <c r="X628" s="244">
        <v>43976</v>
      </c>
      <c r="Y628" s="244">
        <v>590921</v>
      </c>
      <c r="Z628" s="245">
        <v>4040620</v>
      </c>
      <c r="AA628" s="260">
        <v>6138</v>
      </c>
      <c r="AB628" s="270">
        <v>4424636</v>
      </c>
    </row>
    <row r="629" spans="1:28" ht="13.5" customHeight="1">
      <c r="A629" s="16" t="s">
        <v>1</v>
      </c>
      <c r="B629" s="17" t="s">
        <v>2</v>
      </c>
      <c r="C629" s="247">
        <v>270</v>
      </c>
      <c r="D629" s="248">
        <v>44</v>
      </c>
      <c r="E629" s="248">
        <v>2037</v>
      </c>
      <c r="F629" s="248">
        <v>751</v>
      </c>
      <c r="G629" s="248">
        <v>14710</v>
      </c>
      <c r="H629" s="248">
        <v>29520</v>
      </c>
      <c r="I629" s="248">
        <v>63250</v>
      </c>
      <c r="J629" s="248">
        <v>127138</v>
      </c>
      <c r="K629" s="248">
        <v>150029</v>
      </c>
      <c r="L629" s="248">
        <v>63015</v>
      </c>
      <c r="M629" s="248">
        <v>95135</v>
      </c>
      <c r="N629" s="248">
        <v>109760</v>
      </c>
      <c r="O629" s="248">
        <v>154428</v>
      </c>
      <c r="P629" s="248">
        <v>200269</v>
      </c>
      <c r="Q629" s="248">
        <v>213737</v>
      </c>
      <c r="R629" s="248">
        <v>44691</v>
      </c>
      <c r="S629" s="248">
        <v>130190</v>
      </c>
      <c r="T629" s="248">
        <v>58795</v>
      </c>
      <c r="U629" s="248">
        <v>1457769</v>
      </c>
      <c r="V629" s="249">
        <v>-10149</v>
      </c>
      <c r="W629" s="250">
        <v>1447620</v>
      </c>
      <c r="X629" s="248">
        <v>2351</v>
      </c>
      <c r="Y629" s="248">
        <v>78711</v>
      </c>
      <c r="Z629" s="249">
        <v>1376707</v>
      </c>
      <c r="AA629" s="261">
        <v>7218</v>
      </c>
      <c r="AB629" s="271">
        <v>1349130.9025485108</v>
      </c>
    </row>
    <row r="630" spans="1:28" ht="13.5" customHeight="1">
      <c r="A630" s="18" t="s">
        <v>3</v>
      </c>
      <c r="B630" s="19" t="s">
        <v>4</v>
      </c>
      <c r="C630" s="251">
        <v>34</v>
      </c>
      <c r="D630" s="252">
        <v>0</v>
      </c>
      <c r="E630" s="252">
        <v>153</v>
      </c>
      <c r="F630" s="252">
        <v>676</v>
      </c>
      <c r="G630" s="252">
        <v>4183</v>
      </c>
      <c r="H630" s="252">
        <v>7604</v>
      </c>
      <c r="I630" s="252">
        <v>30413</v>
      </c>
      <c r="J630" s="252">
        <v>25494</v>
      </c>
      <c r="K630" s="252">
        <v>5789</v>
      </c>
      <c r="L630" s="252">
        <v>6141</v>
      </c>
      <c r="M630" s="252">
        <v>13324</v>
      </c>
      <c r="N630" s="252">
        <v>5824</v>
      </c>
      <c r="O630" s="252">
        <v>40404</v>
      </c>
      <c r="P630" s="252">
        <v>26539</v>
      </c>
      <c r="Q630" s="252">
        <v>10941</v>
      </c>
      <c r="R630" s="252">
        <v>12929</v>
      </c>
      <c r="S630" s="252">
        <v>22460</v>
      </c>
      <c r="T630" s="252">
        <v>13101</v>
      </c>
      <c r="U630" s="252">
        <v>226009</v>
      </c>
      <c r="V630" s="253">
        <v>-1573</v>
      </c>
      <c r="W630" s="254">
        <v>224436</v>
      </c>
      <c r="X630" s="252">
        <v>187</v>
      </c>
      <c r="Y630" s="252">
        <v>35272</v>
      </c>
      <c r="Z630" s="253">
        <v>190550</v>
      </c>
      <c r="AA630" s="262">
        <v>5829</v>
      </c>
      <c r="AB630" s="272">
        <v>209152.04727006733</v>
      </c>
    </row>
    <row r="631" spans="1:28" ht="13.5" customHeight="1">
      <c r="A631" s="18" t="s">
        <v>5</v>
      </c>
      <c r="B631" s="19" t="s">
        <v>6</v>
      </c>
      <c r="C631" s="251">
        <v>3510</v>
      </c>
      <c r="D631" s="252">
        <v>21</v>
      </c>
      <c r="E631" s="252">
        <v>582</v>
      </c>
      <c r="F631" s="252">
        <v>413</v>
      </c>
      <c r="G631" s="252">
        <v>3982</v>
      </c>
      <c r="H631" s="252">
        <v>5024</v>
      </c>
      <c r="I631" s="252">
        <v>21615</v>
      </c>
      <c r="J631" s="252">
        <v>12841</v>
      </c>
      <c r="K631" s="252">
        <v>17734</v>
      </c>
      <c r="L631" s="252">
        <v>15613</v>
      </c>
      <c r="M631" s="252">
        <v>1378</v>
      </c>
      <c r="N631" s="252">
        <v>3161</v>
      </c>
      <c r="O631" s="252">
        <v>18866</v>
      </c>
      <c r="P631" s="252">
        <v>15512</v>
      </c>
      <c r="Q631" s="252">
        <v>22024</v>
      </c>
      <c r="R631" s="252">
        <v>9807</v>
      </c>
      <c r="S631" s="252">
        <v>14983</v>
      </c>
      <c r="T631" s="252">
        <v>9115</v>
      </c>
      <c r="U631" s="252">
        <v>176181</v>
      </c>
      <c r="V631" s="253">
        <v>-1227</v>
      </c>
      <c r="W631" s="254">
        <v>174954</v>
      </c>
      <c r="X631" s="252">
        <v>4113</v>
      </c>
      <c r="Y631" s="252">
        <v>26010</v>
      </c>
      <c r="Z631" s="253">
        <v>146058</v>
      </c>
      <c r="AA631" s="262">
        <v>6870</v>
      </c>
      <c r="AB631" s="272">
        <v>165531.57328081343</v>
      </c>
    </row>
    <row r="632" spans="1:28" ht="13.5" customHeight="1">
      <c r="A632" s="18" t="s">
        <v>7</v>
      </c>
      <c r="B632" s="19" t="s">
        <v>8</v>
      </c>
      <c r="C632" s="251">
        <v>17</v>
      </c>
      <c r="D632" s="252">
        <v>2</v>
      </c>
      <c r="E632" s="252">
        <v>215</v>
      </c>
      <c r="F632" s="252">
        <v>188</v>
      </c>
      <c r="G632" s="252">
        <v>24088</v>
      </c>
      <c r="H632" s="252">
        <v>10808</v>
      </c>
      <c r="I632" s="252">
        <v>24356</v>
      </c>
      <c r="J632" s="252">
        <v>81825</v>
      </c>
      <c r="K632" s="252">
        <v>28271</v>
      </c>
      <c r="L632" s="252">
        <v>7253</v>
      </c>
      <c r="M632" s="252">
        <v>27611</v>
      </c>
      <c r="N632" s="252">
        <v>15360</v>
      </c>
      <c r="O632" s="252">
        <v>49736</v>
      </c>
      <c r="P632" s="252">
        <v>57086</v>
      </c>
      <c r="Q632" s="252">
        <v>15157</v>
      </c>
      <c r="R632" s="252">
        <v>19583</v>
      </c>
      <c r="S632" s="252">
        <v>44600</v>
      </c>
      <c r="T632" s="252">
        <v>19129</v>
      </c>
      <c r="U632" s="252">
        <v>425285</v>
      </c>
      <c r="V632" s="253">
        <v>-2962</v>
      </c>
      <c r="W632" s="254">
        <v>422323</v>
      </c>
      <c r="X632" s="252">
        <v>234</v>
      </c>
      <c r="Y632" s="252">
        <v>48632</v>
      </c>
      <c r="Z632" s="253">
        <v>376419</v>
      </c>
      <c r="AA632" s="262">
        <v>6811</v>
      </c>
      <c r="AB632" s="272">
        <v>405455.24973959173</v>
      </c>
    </row>
    <row r="633" spans="1:28" ht="13.5" customHeight="1">
      <c r="A633" s="16" t="s">
        <v>9</v>
      </c>
      <c r="B633" s="17" t="s">
        <v>10</v>
      </c>
      <c r="C633" s="251">
        <v>2154</v>
      </c>
      <c r="D633" s="252">
        <v>65</v>
      </c>
      <c r="E633" s="252">
        <v>486</v>
      </c>
      <c r="F633" s="252">
        <v>2358</v>
      </c>
      <c r="G633" s="252">
        <v>13048</v>
      </c>
      <c r="H633" s="252">
        <v>7104</v>
      </c>
      <c r="I633" s="252">
        <v>15650</v>
      </c>
      <c r="J633" s="252">
        <v>16739</v>
      </c>
      <c r="K633" s="252">
        <v>9646</v>
      </c>
      <c r="L633" s="252">
        <v>15407</v>
      </c>
      <c r="M633" s="252">
        <v>2800</v>
      </c>
      <c r="N633" s="252">
        <v>5296</v>
      </c>
      <c r="O633" s="252">
        <v>24014</v>
      </c>
      <c r="P633" s="252">
        <v>18018</v>
      </c>
      <c r="Q633" s="252">
        <v>15274</v>
      </c>
      <c r="R633" s="252">
        <v>15859</v>
      </c>
      <c r="S633" s="252">
        <v>34561</v>
      </c>
      <c r="T633" s="252">
        <v>9882</v>
      </c>
      <c r="U633" s="252">
        <v>208361</v>
      </c>
      <c r="V633" s="253">
        <v>-1451</v>
      </c>
      <c r="W633" s="254">
        <v>206910</v>
      </c>
      <c r="X633" s="252">
        <v>2705</v>
      </c>
      <c r="Y633" s="252">
        <v>31056</v>
      </c>
      <c r="Z633" s="253">
        <v>174600</v>
      </c>
      <c r="AA633" s="262">
        <v>5752</v>
      </c>
      <c r="AB633" s="272">
        <v>191504.34450206539</v>
      </c>
    </row>
    <row r="634" spans="1:28" ht="13.5" customHeight="1">
      <c r="A634" s="18" t="s">
        <v>11</v>
      </c>
      <c r="B634" s="19" t="s">
        <v>12</v>
      </c>
      <c r="C634" s="251">
        <v>2881</v>
      </c>
      <c r="D634" s="252">
        <v>0</v>
      </c>
      <c r="E634" s="252">
        <v>457</v>
      </c>
      <c r="F634" s="252">
        <v>1314</v>
      </c>
      <c r="G634" s="252">
        <v>23196</v>
      </c>
      <c r="H634" s="252">
        <v>3158</v>
      </c>
      <c r="I634" s="252">
        <v>9656</v>
      </c>
      <c r="J634" s="252">
        <v>11885</v>
      </c>
      <c r="K634" s="252">
        <v>11998</v>
      </c>
      <c r="L634" s="252">
        <v>5579</v>
      </c>
      <c r="M634" s="252">
        <v>728</v>
      </c>
      <c r="N634" s="252">
        <v>2592</v>
      </c>
      <c r="O634" s="252">
        <v>20830</v>
      </c>
      <c r="P634" s="252">
        <v>4920</v>
      </c>
      <c r="Q634" s="252">
        <v>9284</v>
      </c>
      <c r="R634" s="252">
        <v>10898</v>
      </c>
      <c r="S634" s="252">
        <v>20090</v>
      </c>
      <c r="T634" s="252">
        <v>8046</v>
      </c>
      <c r="U634" s="252">
        <v>147512</v>
      </c>
      <c r="V634" s="253">
        <v>-1027</v>
      </c>
      <c r="W634" s="254">
        <v>146485</v>
      </c>
      <c r="X634" s="252">
        <v>3338</v>
      </c>
      <c r="Y634" s="252">
        <v>34166</v>
      </c>
      <c r="Z634" s="253">
        <v>110008</v>
      </c>
      <c r="AA634" s="262">
        <v>4892</v>
      </c>
      <c r="AB634" s="272">
        <v>135923.21622546486</v>
      </c>
    </row>
    <row r="635" spans="1:28" ht="13.5" customHeight="1">
      <c r="A635" s="18" t="s">
        <v>13</v>
      </c>
      <c r="B635" s="19" t="s">
        <v>14</v>
      </c>
      <c r="C635" s="251">
        <v>758</v>
      </c>
      <c r="D635" s="252">
        <v>4</v>
      </c>
      <c r="E635" s="252">
        <v>159</v>
      </c>
      <c r="F635" s="252">
        <v>375</v>
      </c>
      <c r="G635" s="252">
        <v>13283</v>
      </c>
      <c r="H635" s="252">
        <v>10774</v>
      </c>
      <c r="I635" s="252">
        <v>25651</v>
      </c>
      <c r="J635" s="252">
        <v>25410</v>
      </c>
      <c r="K635" s="252">
        <v>11700</v>
      </c>
      <c r="L635" s="252">
        <v>12490</v>
      </c>
      <c r="M635" s="252">
        <v>3037</v>
      </c>
      <c r="N635" s="252">
        <v>13253</v>
      </c>
      <c r="O635" s="252">
        <v>55565</v>
      </c>
      <c r="P635" s="252">
        <v>39863</v>
      </c>
      <c r="Q635" s="252">
        <v>32158</v>
      </c>
      <c r="R635" s="252">
        <v>20522</v>
      </c>
      <c r="S635" s="252">
        <v>59065</v>
      </c>
      <c r="T635" s="252">
        <v>19864</v>
      </c>
      <c r="U635" s="252">
        <v>343931</v>
      </c>
      <c r="V635" s="253">
        <v>-2395</v>
      </c>
      <c r="W635" s="254">
        <v>341536</v>
      </c>
      <c r="X635" s="252">
        <v>921</v>
      </c>
      <c r="Y635" s="252">
        <v>39309</v>
      </c>
      <c r="Z635" s="253">
        <v>303701</v>
      </c>
      <c r="AA635" s="262">
        <v>5932</v>
      </c>
      <c r="AB635" s="272">
        <v>318966.83159223711</v>
      </c>
    </row>
    <row r="636" spans="1:28" ht="13.5" customHeight="1">
      <c r="A636" s="18" t="s">
        <v>15</v>
      </c>
      <c r="B636" s="19" t="s">
        <v>45</v>
      </c>
      <c r="C636" s="251">
        <v>797</v>
      </c>
      <c r="D636" s="252">
        <v>0</v>
      </c>
      <c r="E636" s="252">
        <v>256</v>
      </c>
      <c r="F636" s="252">
        <v>0</v>
      </c>
      <c r="G636" s="252">
        <v>5015</v>
      </c>
      <c r="H636" s="252">
        <v>3847</v>
      </c>
      <c r="I636" s="252">
        <v>19465</v>
      </c>
      <c r="J636" s="252">
        <v>16827</v>
      </c>
      <c r="K636" s="252">
        <v>13803</v>
      </c>
      <c r="L636" s="252">
        <v>8096</v>
      </c>
      <c r="M636" s="252">
        <v>7879</v>
      </c>
      <c r="N636" s="252">
        <v>2786</v>
      </c>
      <c r="O636" s="252">
        <v>23403</v>
      </c>
      <c r="P636" s="252">
        <v>19993</v>
      </c>
      <c r="Q636" s="252">
        <v>7284</v>
      </c>
      <c r="R636" s="252">
        <v>8639</v>
      </c>
      <c r="S636" s="252">
        <v>32269</v>
      </c>
      <c r="T636" s="252">
        <v>7653</v>
      </c>
      <c r="U636" s="252">
        <v>178012</v>
      </c>
      <c r="V636" s="253">
        <v>-1240</v>
      </c>
      <c r="W636" s="254">
        <v>176772</v>
      </c>
      <c r="X636" s="252">
        <v>1053</v>
      </c>
      <c r="Y636" s="252">
        <v>24480</v>
      </c>
      <c r="Z636" s="253">
        <v>152479</v>
      </c>
      <c r="AA636" s="262">
        <v>5993</v>
      </c>
      <c r="AB636" s="272">
        <v>166328.41772357622</v>
      </c>
    </row>
    <row r="637" spans="1:28" ht="13.5" customHeight="1">
      <c r="A637" s="18" t="s">
        <v>16</v>
      </c>
      <c r="B637" s="19" t="s">
        <v>46</v>
      </c>
      <c r="C637" s="251">
        <v>1562</v>
      </c>
      <c r="D637" s="252">
        <v>2</v>
      </c>
      <c r="E637" s="252">
        <v>857</v>
      </c>
      <c r="F637" s="252">
        <v>638</v>
      </c>
      <c r="G637" s="252">
        <v>30223</v>
      </c>
      <c r="H637" s="252">
        <v>12488</v>
      </c>
      <c r="I637" s="252">
        <v>28276</v>
      </c>
      <c r="J637" s="252">
        <v>24148</v>
      </c>
      <c r="K637" s="252">
        <v>12979</v>
      </c>
      <c r="L637" s="252">
        <v>6870</v>
      </c>
      <c r="M637" s="252">
        <v>5536</v>
      </c>
      <c r="N637" s="252">
        <v>6378</v>
      </c>
      <c r="O637" s="252">
        <v>44105</v>
      </c>
      <c r="P637" s="252">
        <v>26698</v>
      </c>
      <c r="Q637" s="252">
        <v>25915</v>
      </c>
      <c r="R637" s="252">
        <v>17158</v>
      </c>
      <c r="S637" s="252">
        <v>37659</v>
      </c>
      <c r="T637" s="252">
        <v>15309</v>
      </c>
      <c r="U637" s="252">
        <v>296801</v>
      </c>
      <c r="V637" s="253">
        <v>-2067</v>
      </c>
      <c r="W637" s="254">
        <v>294734</v>
      </c>
      <c r="X637" s="252">
        <v>2421</v>
      </c>
      <c r="Y637" s="252">
        <v>59137</v>
      </c>
      <c r="Z637" s="253">
        <v>235243</v>
      </c>
      <c r="AA637" s="262">
        <v>5917</v>
      </c>
      <c r="AB637" s="272">
        <v>311679.87109125539</v>
      </c>
    </row>
    <row r="638" spans="1:28" ht="13.5" customHeight="1">
      <c r="A638" s="18">
        <v>10</v>
      </c>
      <c r="B638" s="19" t="s">
        <v>47</v>
      </c>
      <c r="C638" s="251">
        <v>5061</v>
      </c>
      <c r="D638" s="252">
        <v>55</v>
      </c>
      <c r="E638" s="252">
        <v>587</v>
      </c>
      <c r="F638" s="252">
        <v>488</v>
      </c>
      <c r="G638" s="252">
        <v>7499</v>
      </c>
      <c r="H638" s="252">
        <v>4815</v>
      </c>
      <c r="I638" s="252">
        <v>21975</v>
      </c>
      <c r="J638" s="252">
        <v>19584</v>
      </c>
      <c r="K638" s="252">
        <v>13681</v>
      </c>
      <c r="L638" s="252">
        <v>14199</v>
      </c>
      <c r="M638" s="252">
        <v>1978</v>
      </c>
      <c r="N638" s="252">
        <v>3271</v>
      </c>
      <c r="O638" s="252">
        <v>18876</v>
      </c>
      <c r="P638" s="252">
        <v>14368</v>
      </c>
      <c r="Q638" s="252">
        <v>27809</v>
      </c>
      <c r="R638" s="252">
        <v>10627</v>
      </c>
      <c r="S638" s="252">
        <v>21057</v>
      </c>
      <c r="T638" s="252">
        <v>8336</v>
      </c>
      <c r="U638" s="252">
        <v>194266</v>
      </c>
      <c r="V638" s="253">
        <v>-1352</v>
      </c>
      <c r="W638" s="254">
        <v>192914</v>
      </c>
      <c r="X638" s="252">
        <v>5703</v>
      </c>
      <c r="Y638" s="252">
        <v>29962</v>
      </c>
      <c r="Z638" s="253">
        <v>158601</v>
      </c>
      <c r="AA638" s="262">
        <v>5928</v>
      </c>
      <c r="AB638" s="272">
        <v>182379.22871027797</v>
      </c>
    </row>
    <row r="639" spans="1:28" ht="13.5" customHeight="1">
      <c r="A639" s="20">
        <v>11</v>
      </c>
      <c r="B639" s="21" t="s">
        <v>48</v>
      </c>
      <c r="C639" s="255">
        <v>1921</v>
      </c>
      <c r="D639" s="256">
        <v>6</v>
      </c>
      <c r="E639" s="256">
        <v>541</v>
      </c>
      <c r="F639" s="256">
        <v>188</v>
      </c>
      <c r="G639" s="256">
        <v>8855</v>
      </c>
      <c r="H639" s="256">
        <v>3618</v>
      </c>
      <c r="I639" s="256">
        <v>13449</v>
      </c>
      <c r="J639" s="256">
        <v>4449</v>
      </c>
      <c r="K639" s="256">
        <v>4738</v>
      </c>
      <c r="L639" s="256">
        <v>1776</v>
      </c>
      <c r="M639" s="256">
        <v>1594</v>
      </c>
      <c r="N639" s="256">
        <v>440</v>
      </c>
      <c r="O639" s="256">
        <v>14348</v>
      </c>
      <c r="P639" s="256">
        <v>5295</v>
      </c>
      <c r="Q639" s="256">
        <v>10184</v>
      </c>
      <c r="R639" s="256">
        <v>5021</v>
      </c>
      <c r="S639" s="256">
        <v>10800</v>
      </c>
      <c r="T639" s="256">
        <v>5487</v>
      </c>
      <c r="U639" s="256">
        <v>92710</v>
      </c>
      <c r="V639" s="257">
        <v>-645</v>
      </c>
      <c r="W639" s="258">
        <v>92065</v>
      </c>
      <c r="X639" s="256">
        <v>2468</v>
      </c>
      <c r="Y639" s="256">
        <v>22492</v>
      </c>
      <c r="Z639" s="257">
        <v>67750</v>
      </c>
      <c r="AA639" s="263">
        <v>5110</v>
      </c>
      <c r="AB639" s="273">
        <v>86268.903962601456</v>
      </c>
    </row>
    <row r="640" spans="1:28" ht="13.5" customHeight="1">
      <c r="A640" s="18">
        <v>12</v>
      </c>
      <c r="B640" s="19" t="s">
        <v>17</v>
      </c>
      <c r="C640" s="247">
        <v>1478</v>
      </c>
      <c r="D640" s="248">
        <v>73</v>
      </c>
      <c r="E640" s="248">
        <v>33</v>
      </c>
      <c r="F640" s="248">
        <v>38</v>
      </c>
      <c r="G640" s="248">
        <v>116</v>
      </c>
      <c r="H640" s="248">
        <v>575</v>
      </c>
      <c r="I640" s="248">
        <v>1655</v>
      </c>
      <c r="J640" s="248">
        <v>491</v>
      </c>
      <c r="K640" s="248">
        <v>175</v>
      </c>
      <c r="L640" s="248">
        <v>2346</v>
      </c>
      <c r="M640" s="248">
        <v>0</v>
      </c>
      <c r="N640" s="248">
        <v>206</v>
      </c>
      <c r="O640" s="248">
        <v>1158</v>
      </c>
      <c r="P640" s="248">
        <v>88</v>
      </c>
      <c r="Q640" s="248">
        <v>1597</v>
      </c>
      <c r="R640" s="248">
        <v>951</v>
      </c>
      <c r="S640" s="248">
        <v>889</v>
      </c>
      <c r="T640" s="248">
        <v>719</v>
      </c>
      <c r="U640" s="248">
        <v>12588</v>
      </c>
      <c r="V640" s="249">
        <v>-88</v>
      </c>
      <c r="W640" s="250">
        <v>12500</v>
      </c>
      <c r="X640" s="248">
        <v>1584</v>
      </c>
      <c r="Y640" s="248">
        <v>1809</v>
      </c>
      <c r="Z640" s="249">
        <v>9195</v>
      </c>
      <c r="AA640" s="261">
        <v>4164</v>
      </c>
      <c r="AB640" s="271">
        <v>11517.505837821509</v>
      </c>
    </row>
    <row r="641" spans="1:28" ht="13.5" customHeight="1">
      <c r="A641" s="18">
        <v>13</v>
      </c>
      <c r="B641" s="19" t="s">
        <v>18</v>
      </c>
      <c r="C641" s="251">
        <v>914</v>
      </c>
      <c r="D641" s="252">
        <v>8</v>
      </c>
      <c r="E641" s="252">
        <v>254</v>
      </c>
      <c r="F641" s="252">
        <v>0</v>
      </c>
      <c r="G641" s="252">
        <v>167</v>
      </c>
      <c r="H641" s="252">
        <v>215</v>
      </c>
      <c r="I641" s="252">
        <v>1316</v>
      </c>
      <c r="J641" s="252">
        <v>195</v>
      </c>
      <c r="K641" s="252">
        <v>414</v>
      </c>
      <c r="L641" s="252">
        <v>119</v>
      </c>
      <c r="M641" s="252">
        <v>0</v>
      </c>
      <c r="N641" s="252">
        <v>3</v>
      </c>
      <c r="O641" s="252">
        <v>845</v>
      </c>
      <c r="P641" s="252">
        <v>181</v>
      </c>
      <c r="Q641" s="252">
        <v>1005</v>
      </c>
      <c r="R641" s="252">
        <v>703</v>
      </c>
      <c r="S641" s="252">
        <v>825</v>
      </c>
      <c r="T641" s="252">
        <v>369</v>
      </c>
      <c r="U641" s="252">
        <v>7533</v>
      </c>
      <c r="V641" s="253">
        <v>-52</v>
      </c>
      <c r="W641" s="254">
        <v>7481</v>
      </c>
      <c r="X641" s="252">
        <v>1176</v>
      </c>
      <c r="Y641" s="252">
        <v>1483</v>
      </c>
      <c r="Z641" s="253">
        <v>4874</v>
      </c>
      <c r="AA641" s="262">
        <v>3986</v>
      </c>
      <c r="AB641" s="272">
        <v>7198.3840943600662</v>
      </c>
    </row>
    <row r="642" spans="1:28" ht="13.5" customHeight="1">
      <c r="A642" s="18">
        <v>14</v>
      </c>
      <c r="B642" s="19" t="s">
        <v>19</v>
      </c>
      <c r="C642" s="251">
        <v>637</v>
      </c>
      <c r="D642" s="252">
        <v>6</v>
      </c>
      <c r="E642" s="252">
        <v>18</v>
      </c>
      <c r="F642" s="252">
        <v>0</v>
      </c>
      <c r="G642" s="252">
        <v>197</v>
      </c>
      <c r="H642" s="252">
        <v>10</v>
      </c>
      <c r="I642" s="252">
        <v>758</v>
      </c>
      <c r="J642" s="252">
        <v>109</v>
      </c>
      <c r="K642" s="252">
        <v>47</v>
      </c>
      <c r="L642" s="252">
        <v>295</v>
      </c>
      <c r="M642" s="252">
        <v>0</v>
      </c>
      <c r="N642" s="252">
        <v>8</v>
      </c>
      <c r="O642" s="252">
        <v>364</v>
      </c>
      <c r="P642" s="252">
        <v>1106</v>
      </c>
      <c r="Q642" s="252">
        <v>1029</v>
      </c>
      <c r="R642" s="252">
        <v>504</v>
      </c>
      <c r="S642" s="252">
        <v>427</v>
      </c>
      <c r="T642" s="252">
        <v>272</v>
      </c>
      <c r="U642" s="252">
        <v>5787</v>
      </c>
      <c r="V642" s="253">
        <v>-41</v>
      </c>
      <c r="W642" s="254">
        <v>5746</v>
      </c>
      <c r="X642" s="252">
        <v>661</v>
      </c>
      <c r="Y642" s="252">
        <v>955</v>
      </c>
      <c r="Z642" s="253">
        <v>4171</v>
      </c>
      <c r="AA642" s="262">
        <v>4597</v>
      </c>
      <c r="AB642" s="272">
        <v>5370.1346678215623</v>
      </c>
    </row>
    <row r="643" spans="1:28" ht="13.5" customHeight="1">
      <c r="A643" s="18">
        <v>15</v>
      </c>
      <c r="B643" s="19" t="s">
        <v>20</v>
      </c>
      <c r="C643" s="251">
        <v>1189</v>
      </c>
      <c r="D643" s="252">
        <v>2</v>
      </c>
      <c r="E643" s="252">
        <v>68</v>
      </c>
      <c r="F643" s="252">
        <v>38</v>
      </c>
      <c r="G643" s="252">
        <v>1701</v>
      </c>
      <c r="H643" s="252">
        <v>724</v>
      </c>
      <c r="I643" s="252">
        <v>2855</v>
      </c>
      <c r="J643" s="252">
        <v>629</v>
      </c>
      <c r="K643" s="252">
        <v>576</v>
      </c>
      <c r="L643" s="252">
        <v>1377</v>
      </c>
      <c r="M643" s="252">
        <v>6</v>
      </c>
      <c r="N643" s="252">
        <v>190</v>
      </c>
      <c r="O643" s="252">
        <v>2417</v>
      </c>
      <c r="P643" s="252">
        <v>937</v>
      </c>
      <c r="Q643" s="252">
        <v>1563</v>
      </c>
      <c r="R643" s="252">
        <v>1404</v>
      </c>
      <c r="S643" s="252">
        <v>2287</v>
      </c>
      <c r="T643" s="252">
        <v>1584</v>
      </c>
      <c r="U643" s="252">
        <v>19547</v>
      </c>
      <c r="V643" s="253">
        <v>-136</v>
      </c>
      <c r="W643" s="254">
        <v>19411</v>
      </c>
      <c r="X643" s="252">
        <v>1259</v>
      </c>
      <c r="Y643" s="252">
        <v>4594</v>
      </c>
      <c r="Z643" s="253">
        <v>13694</v>
      </c>
      <c r="AA643" s="262">
        <v>4040</v>
      </c>
      <c r="AB643" s="272">
        <v>17932.938397945309</v>
      </c>
    </row>
    <row r="644" spans="1:28" ht="13.5" customHeight="1">
      <c r="A644" s="18">
        <v>16</v>
      </c>
      <c r="B644" s="19" t="s">
        <v>21</v>
      </c>
      <c r="C644" s="251">
        <v>758</v>
      </c>
      <c r="D644" s="252">
        <v>2</v>
      </c>
      <c r="E644" s="252">
        <v>289</v>
      </c>
      <c r="F644" s="252">
        <v>1651</v>
      </c>
      <c r="G644" s="252">
        <v>1698</v>
      </c>
      <c r="H644" s="252">
        <v>1496</v>
      </c>
      <c r="I644" s="252">
        <v>4647</v>
      </c>
      <c r="J644" s="252">
        <v>1811</v>
      </c>
      <c r="K644" s="252">
        <v>2964</v>
      </c>
      <c r="L644" s="252">
        <v>5649</v>
      </c>
      <c r="M644" s="252">
        <v>0</v>
      </c>
      <c r="N644" s="252">
        <v>721</v>
      </c>
      <c r="O644" s="252">
        <v>4391</v>
      </c>
      <c r="P644" s="252">
        <v>2709</v>
      </c>
      <c r="Q644" s="252">
        <v>2546</v>
      </c>
      <c r="R644" s="252">
        <v>2123</v>
      </c>
      <c r="S644" s="252">
        <v>4792</v>
      </c>
      <c r="T644" s="252">
        <v>5670</v>
      </c>
      <c r="U644" s="252">
        <v>43917</v>
      </c>
      <c r="V644" s="253">
        <v>-306</v>
      </c>
      <c r="W644" s="254">
        <v>43611</v>
      </c>
      <c r="X644" s="252">
        <v>1049</v>
      </c>
      <c r="Y644" s="252">
        <v>7996</v>
      </c>
      <c r="Z644" s="253">
        <v>34872</v>
      </c>
      <c r="AA644" s="262">
        <v>4786</v>
      </c>
      <c r="AB644" s="272">
        <v>39174.826364278313</v>
      </c>
    </row>
    <row r="645" spans="1:28" ht="13.5" customHeight="1">
      <c r="A645" s="18">
        <v>17</v>
      </c>
      <c r="B645" s="19" t="s">
        <v>22</v>
      </c>
      <c r="C645" s="251">
        <v>542</v>
      </c>
      <c r="D645" s="252">
        <v>17</v>
      </c>
      <c r="E645" s="252">
        <v>244</v>
      </c>
      <c r="F645" s="252">
        <v>188</v>
      </c>
      <c r="G645" s="252">
        <v>255</v>
      </c>
      <c r="H645" s="252">
        <v>691</v>
      </c>
      <c r="I645" s="252">
        <v>5358</v>
      </c>
      <c r="J645" s="252">
        <v>1609</v>
      </c>
      <c r="K645" s="252">
        <v>1391</v>
      </c>
      <c r="L645" s="252">
        <v>21808</v>
      </c>
      <c r="M645" s="252">
        <v>69</v>
      </c>
      <c r="N645" s="252">
        <v>254</v>
      </c>
      <c r="O645" s="252">
        <v>5626</v>
      </c>
      <c r="P645" s="252">
        <v>1027</v>
      </c>
      <c r="Q645" s="252">
        <v>3724</v>
      </c>
      <c r="R645" s="252">
        <v>11901</v>
      </c>
      <c r="S645" s="252">
        <v>1989</v>
      </c>
      <c r="T645" s="252">
        <v>4433</v>
      </c>
      <c r="U645" s="252">
        <v>61126</v>
      </c>
      <c r="V645" s="253">
        <v>-425</v>
      </c>
      <c r="W645" s="254">
        <v>60701</v>
      </c>
      <c r="X645" s="252">
        <v>803</v>
      </c>
      <c r="Y645" s="252">
        <v>5801</v>
      </c>
      <c r="Z645" s="253">
        <v>54522</v>
      </c>
      <c r="AA645" s="262">
        <v>5773</v>
      </c>
      <c r="AB645" s="272">
        <v>53498.73818874509</v>
      </c>
    </row>
    <row r="646" spans="1:28" ht="13.5" customHeight="1">
      <c r="A646" s="18">
        <v>18</v>
      </c>
      <c r="B646" s="19" t="s">
        <v>23</v>
      </c>
      <c r="C646" s="251">
        <v>577</v>
      </c>
      <c r="D646" s="252">
        <v>8</v>
      </c>
      <c r="E646" s="252">
        <v>183</v>
      </c>
      <c r="F646" s="252">
        <v>0</v>
      </c>
      <c r="G646" s="252">
        <v>184</v>
      </c>
      <c r="H646" s="252">
        <v>883</v>
      </c>
      <c r="I646" s="252">
        <v>8922</v>
      </c>
      <c r="J646" s="252">
        <v>481</v>
      </c>
      <c r="K646" s="252">
        <v>1920</v>
      </c>
      <c r="L646" s="252">
        <v>191</v>
      </c>
      <c r="M646" s="252">
        <v>710</v>
      </c>
      <c r="N646" s="252">
        <v>14</v>
      </c>
      <c r="O646" s="252">
        <v>2176</v>
      </c>
      <c r="P646" s="252">
        <v>950</v>
      </c>
      <c r="Q646" s="252">
        <v>1607</v>
      </c>
      <c r="R646" s="252">
        <v>1326</v>
      </c>
      <c r="S646" s="252">
        <v>2197</v>
      </c>
      <c r="T646" s="252">
        <v>1194</v>
      </c>
      <c r="U646" s="252">
        <v>23523</v>
      </c>
      <c r="V646" s="253">
        <v>-164</v>
      </c>
      <c r="W646" s="254">
        <v>23359</v>
      </c>
      <c r="X646" s="252">
        <v>768</v>
      </c>
      <c r="Y646" s="252">
        <v>9106</v>
      </c>
      <c r="Z646" s="253">
        <v>13649</v>
      </c>
      <c r="AA646" s="262">
        <v>7100</v>
      </c>
      <c r="AB646" s="272">
        <v>22058.898077399412</v>
      </c>
    </row>
    <row r="647" spans="1:28" ht="13.5" customHeight="1">
      <c r="A647" s="18">
        <v>19</v>
      </c>
      <c r="B647" s="19" t="s">
        <v>24</v>
      </c>
      <c r="C647" s="251">
        <v>523</v>
      </c>
      <c r="D647" s="252">
        <v>0</v>
      </c>
      <c r="E647" s="252">
        <v>60</v>
      </c>
      <c r="F647" s="252">
        <v>113</v>
      </c>
      <c r="G647" s="252">
        <v>729</v>
      </c>
      <c r="H647" s="252">
        <v>2050</v>
      </c>
      <c r="I647" s="252">
        <v>4995</v>
      </c>
      <c r="J647" s="252">
        <v>1145</v>
      </c>
      <c r="K647" s="252">
        <v>2604</v>
      </c>
      <c r="L647" s="252">
        <v>819</v>
      </c>
      <c r="M647" s="252">
        <v>477</v>
      </c>
      <c r="N647" s="252">
        <v>422</v>
      </c>
      <c r="O647" s="252">
        <v>4230</v>
      </c>
      <c r="P647" s="252">
        <v>711</v>
      </c>
      <c r="Q647" s="252">
        <v>2253</v>
      </c>
      <c r="R647" s="252">
        <v>2061</v>
      </c>
      <c r="S647" s="252">
        <v>5571</v>
      </c>
      <c r="T647" s="252">
        <v>1508</v>
      </c>
      <c r="U647" s="252">
        <v>30271</v>
      </c>
      <c r="V647" s="253">
        <v>-210</v>
      </c>
      <c r="W647" s="254">
        <v>30061</v>
      </c>
      <c r="X647" s="252">
        <v>583</v>
      </c>
      <c r="Y647" s="252">
        <v>5837</v>
      </c>
      <c r="Z647" s="253">
        <v>23851</v>
      </c>
      <c r="AA647" s="262">
        <v>4930</v>
      </c>
      <c r="AB647" s="272">
        <v>61326.360160574579</v>
      </c>
    </row>
    <row r="648" spans="1:28" ht="13.5" customHeight="1">
      <c r="A648" s="20">
        <v>20</v>
      </c>
      <c r="B648" s="21" t="s">
        <v>25</v>
      </c>
      <c r="C648" s="255">
        <v>1289</v>
      </c>
      <c r="D648" s="256">
        <v>2</v>
      </c>
      <c r="E648" s="256">
        <v>108</v>
      </c>
      <c r="F648" s="256">
        <v>75</v>
      </c>
      <c r="G648" s="256">
        <v>649</v>
      </c>
      <c r="H648" s="256">
        <v>304</v>
      </c>
      <c r="I648" s="256">
        <v>1454</v>
      </c>
      <c r="J648" s="256">
        <v>706</v>
      </c>
      <c r="K648" s="256">
        <v>519</v>
      </c>
      <c r="L648" s="256">
        <v>746</v>
      </c>
      <c r="M648" s="256">
        <v>23</v>
      </c>
      <c r="N648" s="256">
        <v>24</v>
      </c>
      <c r="O648" s="256">
        <v>1196</v>
      </c>
      <c r="P648" s="256">
        <v>76</v>
      </c>
      <c r="Q648" s="256">
        <v>1529</v>
      </c>
      <c r="R648" s="256">
        <v>622</v>
      </c>
      <c r="S648" s="256">
        <v>1155</v>
      </c>
      <c r="T648" s="256">
        <v>872</v>
      </c>
      <c r="U648" s="256">
        <v>11349</v>
      </c>
      <c r="V648" s="257">
        <v>-79</v>
      </c>
      <c r="W648" s="258">
        <v>11270</v>
      </c>
      <c r="X648" s="256">
        <v>1399</v>
      </c>
      <c r="Y648" s="256">
        <v>2178</v>
      </c>
      <c r="Z648" s="257">
        <v>7772</v>
      </c>
      <c r="AA648" s="263">
        <v>3734</v>
      </c>
      <c r="AB648" s="273">
        <v>10464.679231872828</v>
      </c>
    </row>
    <row r="649" spans="1:28" ht="13.5" customHeight="1">
      <c r="A649" s="18">
        <v>21</v>
      </c>
      <c r="B649" s="19" t="s">
        <v>26</v>
      </c>
      <c r="C649" s="247">
        <v>695</v>
      </c>
      <c r="D649" s="248">
        <v>0</v>
      </c>
      <c r="E649" s="248">
        <v>118</v>
      </c>
      <c r="F649" s="248">
        <v>263</v>
      </c>
      <c r="G649" s="248">
        <v>2479</v>
      </c>
      <c r="H649" s="248">
        <v>2444</v>
      </c>
      <c r="I649" s="248">
        <v>10170</v>
      </c>
      <c r="J649" s="248">
        <v>3893</v>
      </c>
      <c r="K649" s="248">
        <v>827</v>
      </c>
      <c r="L649" s="248">
        <v>3300</v>
      </c>
      <c r="M649" s="248">
        <v>63</v>
      </c>
      <c r="N649" s="248">
        <v>1142</v>
      </c>
      <c r="O649" s="248">
        <v>16813</v>
      </c>
      <c r="P649" s="248">
        <v>2238</v>
      </c>
      <c r="Q649" s="248">
        <v>3428</v>
      </c>
      <c r="R649" s="248">
        <v>4386</v>
      </c>
      <c r="S649" s="248">
        <v>6285</v>
      </c>
      <c r="T649" s="248">
        <v>5417</v>
      </c>
      <c r="U649" s="248">
        <v>63961</v>
      </c>
      <c r="V649" s="249">
        <v>-446</v>
      </c>
      <c r="W649" s="250">
        <v>63515</v>
      </c>
      <c r="X649" s="248">
        <v>813</v>
      </c>
      <c r="Y649" s="248">
        <v>12912</v>
      </c>
      <c r="Z649" s="249">
        <v>50236</v>
      </c>
      <c r="AA649" s="261">
        <v>4618</v>
      </c>
      <c r="AB649" s="271">
        <v>59367.426206433898</v>
      </c>
    </row>
    <row r="650" spans="1:28" ht="13.5" customHeight="1">
      <c r="A650" s="18">
        <v>22</v>
      </c>
      <c r="B650" s="19" t="s">
        <v>27</v>
      </c>
      <c r="C650" s="251">
        <v>18</v>
      </c>
      <c r="D650" s="252">
        <v>0</v>
      </c>
      <c r="E650" s="252">
        <v>5</v>
      </c>
      <c r="F650" s="252">
        <v>0</v>
      </c>
      <c r="G650" s="252">
        <v>1488</v>
      </c>
      <c r="H650" s="252">
        <v>832</v>
      </c>
      <c r="I650" s="252">
        <v>5372</v>
      </c>
      <c r="J650" s="252">
        <v>1763</v>
      </c>
      <c r="K650" s="252">
        <v>318</v>
      </c>
      <c r="L650" s="252">
        <v>721</v>
      </c>
      <c r="M650" s="252">
        <v>539</v>
      </c>
      <c r="N650" s="252">
        <v>1565</v>
      </c>
      <c r="O650" s="252">
        <v>4539</v>
      </c>
      <c r="P650" s="252">
        <v>3174</v>
      </c>
      <c r="Q650" s="252">
        <v>12886</v>
      </c>
      <c r="R650" s="252">
        <v>2108</v>
      </c>
      <c r="S650" s="252">
        <v>4473</v>
      </c>
      <c r="T650" s="252">
        <v>2068</v>
      </c>
      <c r="U650" s="252">
        <v>41869</v>
      </c>
      <c r="V650" s="253">
        <v>-292</v>
      </c>
      <c r="W650" s="254">
        <v>41577</v>
      </c>
      <c r="X650" s="252">
        <v>23</v>
      </c>
      <c r="Y650" s="252">
        <v>6860</v>
      </c>
      <c r="Z650" s="253">
        <v>34986</v>
      </c>
      <c r="AA650" s="262">
        <v>5191</v>
      </c>
      <c r="AB650" s="272">
        <v>38739.661399482793</v>
      </c>
    </row>
    <row r="651" spans="1:28" ht="13.5" customHeight="1">
      <c r="A651" s="18">
        <v>23</v>
      </c>
      <c r="B651" s="19" t="s">
        <v>28</v>
      </c>
      <c r="C651" s="251">
        <v>0</v>
      </c>
      <c r="D651" s="252">
        <v>4</v>
      </c>
      <c r="E651" s="252">
        <v>46</v>
      </c>
      <c r="F651" s="252">
        <v>0</v>
      </c>
      <c r="G651" s="252">
        <v>621</v>
      </c>
      <c r="H651" s="252">
        <v>6222</v>
      </c>
      <c r="I651" s="252">
        <v>13092</v>
      </c>
      <c r="J651" s="252">
        <v>8784</v>
      </c>
      <c r="K651" s="252">
        <v>664</v>
      </c>
      <c r="L651" s="252">
        <v>9992</v>
      </c>
      <c r="M651" s="252">
        <v>8733</v>
      </c>
      <c r="N651" s="252">
        <v>3352</v>
      </c>
      <c r="O651" s="252">
        <v>17512</v>
      </c>
      <c r="P651" s="252">
        <v>7964</v>
      </c>
      <c r="Q651" s="252">
        <v>3330</v>
      </c>
      <c r="R651" s="252">
        <v>3512</v>
      </c>
      <c r="S651" s="252">
        <v>6472</v>
      </c>
      <c r="T651" s="252">
        <v>6467</v>
      </c>
      <c r="U651" s="252">
        <v>96767</v>
      </c>
      <c r="V651" s="253">
        <v>-674</v>
      </c>
      <c r="W651" s="254">
        <v>96093</v>
      </c>
      <c r="X651" s="252">
        <v>50</v>
      </c>
      <c r="Y651" s="252">
        <v>13713</v>
      </c>
      <c r="Z651" s="253">
        <v>83004</v>
      </c>
      <c r="AA651" s="262">
        <v>6365</v>
      </c>
      <c r="AB651" s="272">
        <v>90085.728691489872</v>
      </c>
    </row>
    <row r="652" spans="1:28" ht="13.5" customHeight="1">
      <c r="A652" s="18">
        <v>24</v>
      </c>
      <c r="B652" s="19" t="s">
        <v>29</v>
      </c>
      <c r="C652" s="251">
        <v>46</v>
      </c>
      <c r="D652" s="252">
        <v>2</v>
      </c>
      <c r="E652" s="252">
        <v>63</v>
      </c>
      <c r="F652" s="252">
        <v>38</v>
      </c>
      <c r="G652" s="252">
        <v>817</v>
      </c>
      <c r="H652" s="252">
        <v>791</v>
      </c>
      <c r="I652" s="252">
        <v>2704</v>
      </c>
      <c r="J652" s="252">
        <v>2599</v>
      </c>
      <c r="K652" s="252">
        <v>1247</v>
      </c>
      <c r="L652" s="252">
        <v>3424</v>
      </c>
      <c r="M652" s="252">
        <v>152</v>
      </c>
      <c r="N652" s="252">
        <v>596</v>
      </c>
      <c r="O652" s="252">
        <v>8133</v>
      </c>
      <c r="P652" s="252">
        <v>2030</v>
      </c>
      <c r="Q652" s="252">
        <v>1927</v>
      </c>
      <c r="R652" s="252">
        <v>4139</v>
      </c>
      <c r="S652" s="252">
        <v>13047</v>
      </c>
      <c r="T652" s="252">
        <v>3170</v>
      </c>
      <c r="U652" s="252">
        <v>44925</v>
      </c>
      <c r="V652" s="253">
        <v>-313</v>
      </c>
      <c r="W652" s="254">
        <v>44612</v>
      </c>
      <c r="X652" s="252">
        <v>111</v>
      </c>
      <c r="Y652" s="252">
        <v>3559</v>
      </c>
      <c r="Z652" s="253">
        <v>41255</v>
      </c>
      <c r="AA652" s="262">
        <v>5266</v>
      </c>
      <c r="AB652" s="272">
        <v>41878.353073782615</v>
      </c>
    </row>
    <row r="653" spans="1:28" ht="13.5" customHeight="1">
      <c r="A653" s="18">
        <v>25</v>
      </c>
      <c r="B653" s="19" t="s">
        <v>30</v>
      </c>
      <c r="C653" s="251">
        <v>108</v>
      </c>
      <c r="D653" s="252">
        <v>0</v>
      </c>
      <c r="E653" s="252">
        <v>17</v>
      </c>
      <c r="F653" s="252">
        <v>263</v>
      </c>
      <c r="G653" s="252">
        <v>7151</v>
      </c>
      <c r="H653" s="252">
        <v>3880</v>
      </c>
      <c r="I653" s="252">
        <v>2776</v>
      </c>
      <c r="J653" s="252">
        <v>3495</v>
      </c>
      <c r="K653" s="252">
        <v>1948</v>
      </c>
      <c r="L653" s="252">
        <v>667</v>
      </c>
      <c r="M653" s="252">
        <v>743</v>
      </c>
      <c r="N653" s="252">
        <v>243</v>
      </c>
      <c r="O653" s="252">
        <v>8108</v>
      </c>
      <c r="P653" s="252">
        <v>2113</v>
      </c>
      <c r="Q653" s="252">
        <v>1846</v>
      </c>
      <c r="R653" s="252">
        <v>1905</v>
      </c>
      <c r="S653" s="252">
        <v>10682</v>
      </c>
      <c r="T653" s="252">
        <v>3794</v>
      </c>
      <c r="U653" s="252">
        <v>49739</v>
      </c>
      <c r="V653" s="253">
        <v>-347</v>
      </c>
      <c r="W653" s="254">
        <v>49392</v>
      </c>
      <c r="X653" s="252">
        <v>125</v>
      </c>
      <c r="Y653" s="252">
        <v>10190</v>
      </c>
      <c r="Z653" s="253">
        <v>39424</v>
      </c>
      <c r="AA653" s="262">
        <v>5204</v>
      </c>
      <c r="AB653" s="272">
        <v>80375.93814317591</v>
      </c>
    </row>
    <row r="654" spans="1:28" ht="13.5" customHeight="1">
      <c r="A654" s="20">
        <v>26</v>
      </c>
      <c r="B654" s="21" t="s">
        <v>31</v>
      </c>
      <c r="C654" s="255">
        <v>109</v>
      </c>
      <c r="D654" s="256">
        <v>2</v>
      </c>
      <c r="E654" s="256">
        <v>105</v>
      </c>
      <c r="F654" s="256">
        <v>75</v>
      </c>
      <c r="G654" s="256">
        <v>20801</v>
      </c>
      <c r="H654" s="256">
        <v>5572</v>
      </c>
      <c r="I654" s="256">
        <v>7001</v>
      </c>
      <c r="J654" s="256">
        <v>14496</v>
      </c>
      <c r="K654" s="256">
        <v>7853</v>
      </c>
      <c r="L654" s="256">
        <v>1473</v>
      </c>
      <c r="M654" s="256">
        <v>399</v>
      </c>
      <c r="N654" s="256">
        <v>2277</v>
      </c>
      <c r="O654" s="256">
        <v>11144</v>
      </c>
      <c r="P654" s="256">
        <v>7262</v>
      </c>
      <c r="Q654" s="256">
        <v>2675</v>
      </c>
      <c r="R654" s="256">
        <v>21718</v>
      </c>
      <c r="S654" s="256">
        <v>19627</v>
      </c>
      <c r="T654" s="256">
        <v>5525</v>
      </c>
      <c r="U654" s="256">
        <v>128114</v>
      </c>
      <c r="V654" s="257">
        <v>-892</v>
      </c>
      <c r="W654" s="258">
        <v>127222</v>
      </c>
      <c r="X654" s="256">
        <v>216</v>
      </c>
      <c r="Y654" s="256">
        <v>27877</v>
      </c>
      <c r="Z654" s="257">
        <v>100021</v>
      </c>
      <c r="AA654" s="263">
        <v>5598</v>
      </c>
      <c r="AB654" s="273">
        <v>118861.74469934274</v>
      </c>
    </row>
    <row r="655" spans="1:28" ht="13.5" customHeight="1">
      <c r="A655" s="18">
        <v>27</v>
      </c>
      <c r="B655" s="19" t="s">
        <v>32</v>
      </c>
      <c r="C655" s="247">
        <v>156</v>
      </c>
      <c r="D655" s="248">
        <v>0</v>
      </c>
      <c r="E655" s="248">
        <v>173</v>
      </c>
      <c r="F655" s="248">
        <v>38</v>
      </c>
      <c r="G655" s="248">
        <v>570</v>
      </c>
      <c r="H655" s="248">
        <v>978</v>
      </c>
      <c r="I655" s="248">
        <v>2805</v>
      </c>
      <c r="J655" s="248">
        <v>4924</v>
      </c>
      <c r="K655" s="248">
        <v>504</v>
      </c>
      <c r="L655" s="248">
        <v>1180</v>
      </c>
      <c r="M655" s="248">
        <v>117</v>
      </c>
      <c r="N655" s="248">
        <v>1442</v>
      </c>
      <c r="O655" s="248">
        <v>6715</v>
      </c>
      <c r="P655" s="248">
        <v>1692</v>
      </c>
      <c r="Q655" s="248">
        <v>3557</v>
      </c>
      <c r="R655" s="248">
        <v>5031</v>
      </c>
      <c r="S655" s="248">
        <v>6689</v>
      </c>
      <c r="T655" s="248">
        <v>2270</v>
      </c>
      <c r="U655" s="248">
        <v>38841</v>
      </c>
      <c r="V655" s="249">
        <v>-271</v>
      </c>
      <c r="W655" s="250">
        <v>38570</v>
      </c>
      <c r="X655" s="248">
        <v>329</v>
      </c>
      <c r="Y655" s="248">
        <v>3413</v>
      </c>
      <c r="Z655" s="249">
        <v>35099</v>
      </c>
      <c r="AA655" s="261">
        <v>5060</v>
      </c>
      <c r="AB655" s="271">
        <v>35922.659156561589</v>
      </c>
    </row>
    <row r="656" spans="1:28" ht="13.5" customHeight="1">
      <c r="A656" s="18">
        <v>28</v>
      </c>
      <c r="B656" s="19" t="s">
        <v>33</v>
      </c>
      <c r="C656" s="251">
        <v>535</v>
      </c>
      <c r="D656" s="252">
        <v>8</v>
      </c>
      <c r="E656" s="252">
        <v>0</v>
      </c>
      <c r="F656" s="252">
        <v>113</v>
      </c>
      <c r="G656" s="252">
        <v>3779</v>
      </c>
      <c r="H656" s="252">
        <v>3443</v>
      </c>
      <c r="I656" s="252">
        <v>11671</v>
      </c>
      <c r="J656" s="252">
        <v>13299</v>
      </c>
      <c r="K656" s="252">
        <v>3271</v>
      </c>
      <c r="L656" s="252">
        <v>2350</v>
      </c>
      <c r="M656" s="252">
        <v>406</v>
      </c>
      <c r="N656" s="252">
        <v>2182</v>
      </c>
      <c r="O656" s="252">
        <v>14590</v>
      </c>
      <c r="P656" s="252">
        <v>5203</v>
      </c>
      <c r="Q656" s="252">
        <v>3515</v>
      </c>
      <c r="R656" s="252">
        <v>6208</v>
      </c>
      <c r="S656" s="252">
        <v>26083</v>
      </c>
      <c r="T656" s="252">
        <v>6395</v>
      </c>
      <c r="U656" s="252">
        <v>103051</v>
      </c>
      <c r="V656" s="253">
        <v>-718</v>
      </c>
      <c r="W656" s="254">
        <v>102333</v>
      </c>
      <c r="X656" s="252">
        <v>543</v>
      </c>
      <c r="Y656" s="252">
        <v>15563</v>
      </c>
      <c r="Z656" s="253">
        <v>86945</v>
      </c>
      <c r="AA656" s="262">
        <v>5057</v>
      </c>
      <c r="AB656" s="272">
        <v>96165.39227712006</v>
      </c>
    </row>
    <row r="657" spans="1:28" ht="13.5" customHeight="1">
      <c r="A657" s="18">
        <v>29</v>
      </c>
      <c r="B657" s="19" t="s">
        <v>34</v>
      </c>
      <c r="C657" s="251">
        <v>1</v>
      </c>
      <c r="D657" s="252">
        <v>2</v>
      </c>
      <c r="E657" s="252">
        <v>45</v>
      </c>
      <c r="F657" s="252">
        <v>0</v>
      </c>
      <c r="G657" s="252">
        <v>16</v>
      </c>
      <c r="H657" s="252">
        <v>24</v>
      </c>
      <c r="I657" s="252">
        <v>701</v>
      </c>
      <c r="J657" s="252">
        <v>30</v>
      </c>
      <c r="K657" s="252">
        <v>129</v>
      </c>
      <c r="L657" s="252">
        <v>537</v>
      </c>
      <c r="M657" s="252">
        <v>6</v>
      </c>
      <c r="N657" s="252">
        <v>7</v>
      </c>
      <c r="O657" s="252">
        <v>108</v>
      </c>
      <c r="P657" s="252">
        <v>127</v>
      </c>
      <c r="Q657" s="252">
        <v>458</v>
      </c>
      <c r="R657" s="252">
        <v>331</v>
      </c>
      <c r="S657" s="252">
        <v>195</v>
      </c>
      <c r="T657" s="252">
        <v>649</v>
      </c>
      <c r="U657" s="252">
        <v>3366</v>
      </c>
      <c r="V657" s="253">
        <v>-23</v>
      </c>
      <c r="W657" s="254">
        <v>3343</v>
      </c>
      <c r="X657" s="252">
        <v>48</v>
      </c>
      <c r="Y657" s="252">
        <v>717</v>
      </c>
      <c r="Z657" s="253">
        <v>2601</v>
      </c>
      <c r="AA657" s="262">
        <v>5657</v>
      </c>
      <c r="AB657" s="272">
        <v>3113.8718913413827</v>
      </c>
    </row>
    <row r="658" spans="1:28" ht="13.5" customHeight="1">
      <c r="A658" s="18">
        <v>30</v>
      </c>
      <c r="B658" s="19" t="s">
        <v>35</v>
      </c>
      <c r="C658" s="251">
        <v>1</v>
      </c>
      <c r="D658" s="252">
        <v>0</v>
      </c>
      <c r="E658" s="252">
        <v>24</v>
      </c>
      <c r="F658" s="252">
        <v>0</v>
      </c>
      <c r="G658" s="252">
        <v>31</v>
      </c>
      <c r="H658" s="252">
        <v>94</v>
      </c>
      <c r="I658" s="252">
        <v>575</v>
      </c>
      <c r="J658" s="252">
        <v>102</v>
      </c>
      <c r="K658" s="252">
        <v>272</v>
      </c>
      <c r="L658" s="252">
        <v>1138</v>
      </c>
      <c r="M658" s="252">
        <v>0</v>
      </c>
      <c r="N658" s="252">
        <v>11</v>
      </c>
      <c r="O658" s="252">
        <v>188</v>
      </c>
      <c r="P658" s="252">
        <v>218</v>
      </c>
      <c r="Q658" s="252">
        <v>416</v>
      </c>
      <c r="R658" s="252">
        <v>538</v>
      </c>
      <c r="S658" s="252">
        <v>271</v>
      </c>
      <c r="T658" s="252">
        <v>996</v>
      </c>
      <c r="U658" s="252">
        <v>4875</v>
      </c>
      <c r="V658" s="253">
        <v>-34</v>
      </c>
      <c r="W658" s="254">
        <v>4841</v>
      </c>
      <c r="X658" s="252">
        <v>25</v>
      </c>
      <c r="Y658" s="252">
        <v>606</v>
      </c>
      <c r="Z658" s="253">
        <v>4244</v>
      </c>
      <c r="AA658" s="262">
        <v>6014</v>
      </c>
      <c r="AB658" s="272">
        <v>4212.4490977288378</v>
      </c>
    </row>
    <row r="659" spans="1:28" ht="13.5" customHeight="1">
      <c r="A659" s="18">
        <v>31</v>
      </c>
      <c r="B659" s="19" t="s">
        <v>36</v>
      </c>
      <c r="C659" s="251">
        <v>39</v>
      </c>
      <c r="D659" s="252">
        <v>0</v>
      </c>
      <c r="E659" s="252">
        <v>9</v>
      </c>
      <c r="F659" s="252">
        <v>0</v>
      </c>
      <c r="G659" s="252">
        <v>208</v>
      </c>
      <c r="H659" s="252">
        <v>122</v>
      </c>
      <c r="I659" s="252">
        <v>1133</v>
      </c>
      <c r="J659" s="252">
        <v>27</v>
      </c>
      <c r="K659" s="252">
        <v>144</v>
      </c>
      <c r="L659" s="252">
        <v>148</v>
      </c>
      <c r="M659" s="252">
        <v>0</v>
      </c>
      <c r="N659" s="252">
        <v>3</v>
      </c>
      <c r="O659" s="252">
        <v>215</v>
      </c>
      <c r="P659" s="252">
        <v>0</v>
      </c>
      <c r="Q659" s="252">
        <v>509</v>
      </c>
      <c r="R659" s="252">
        <v>278</v>
      </c>
      <c r="S659" s="252">
        <v>442</v>
      </c>
      <c r="T659" s="252">
        <v>90</v>
      </c>
      <c r="U659" s="252">
        <v>3367</v>
      </c>
      <c r="V659" s="253">
        <v>-23</v>
      </c>
      <c r="W659" s="254">
        <v>3344</v>
      </c>
      <c r="X659" s="252">
        <v>48</v>
      </c>
      <c r="Y659" s="252">
        <v>1341</v>
      </c>
      <c r="Z659" s="253">
        <v>1978</v>
      </c>
      <c r="AA659" s="262">
        <v>7317</v>
      </c>
      <c r="AB659" s="272">
        <v>3219.2484214351557</v>
      </c>
    </row>
    <row r="660" spans="1:28" ht="13.5" customHeight="1">
      <c r="A660" s="18">
        <v>32</v>
      </c>
      <c r="B660" s="19" t="s">
        <v>37</v>
      </c>
      <c r="C660" s="251">
        <v>0</v>
      </c>
      <c r="D660" s="252">
        <v>0</v>
      </c>
      <c r="E660" s="252">
        <v>61</v>
      </c>
      <c r="F660" s="252">
        <v>0</v>
      </c>
      <c r="G660" s="252">
        <v>0</v>
      </c>
      <c r="H660" s="252">
        <v>-5</v>
      </c>
      <c r="I660" s="252">
        <v>464</v>
      </c>
      <c r="J660" s="252">
        <v>17</v>
      </c>
      <c r="K660" s="252">
        <v>30</v>
      </c>
      <c r="L660" s="252">
        <v>61</v>
      </c>
      <c r="M660" s="252">
        <v>0</v>
      </c>
      <c r="N660" s="252">
        <v>22</v>
      </c>
      <c r="O660" s="252">
        <v>55</v>
      </c>
      <c r="P660" s="252">
        <v>0</v>
      </c>
      <c r="Q660" s="252">
        <v>233</v>
      </c>
      <c r="R660" s="252">
        <v>193</v>
      </c>
      <c r="S660" s="252">
        <v>128</v>
      </c>
      <c r="T660" s="252">
        <v>16</v>
      </c>
      <c r="U660" s="252">
        <v>1275</v>
      </c>
      <c r="V660" s="253">
        <v>-9</v>
      </c>
      <c r="W660" s="254">
        <v>1266</v>
      </c>
      <c r="X660" s="252">
        <v>61</v>
      </c>
      <c r="Y660" s="252">
        <v>464</v>
      </c>
      <c r="Z660" s="253">
        <v>750</v>
      </c>
      <c r="AA660" s="262">
        <v>4832</v>
      </c>
      <c r="AB660" s="272">
        <v>1179.7422908430551</v>
      </c>
    </row>
    <row r="661" spans="1:28" ht="13.5" customHeight="1">
      <c r="A661" s="18">
        <v>33</v>
      </c>
      <c r="B661" s="19" t="s">
        <v>38</v>
      </c>
      <c r="C661" s="251">
        <v>757</v>
      </c>
      <c r="D661" s="252">
        <v>6</v>
      </c>
      <c r="E661" s="252">
        <v>34</v>
      </c>
      <c r="F661" s="252">
        <v>150</v>
      </c>
      <c r="G661" s="252">
        <v>1563</v>
      </c>
      <c r="H661" s="252">
        <v>115</v>
      </c>
      <c r="I661" s="252">
        <v>1037</v>
      </c>
      <c r="J661" s="252">
        <v>240</v>
      </c>
      <c r="K661" s="252">
        <v>136</v>
      </c>
      <c r="L661" s="252">
        <v>212</v>
      </c>
      <c r="M661" s="252">
        <v>0</v>
      </c>
      <c r="N661" s="252">
        <v>3</v>
      </c>
      <c r="O661" s="252">
        <v>110</v>
      </c>
      <c r="P661" s="252">
        <v>114</v>
      </c>
      <c r="Q661" s="252">
        <v>799</v>
      </c>
      <c r="R661" s="252">
        <v>343</v>
      </c>
      <c r="S661" s="252">
        <v>225</v>
      </c>
      <c r="T661" s="252">
        <v>157</v>
      </c>
      <c r="U661" s="252">
        <v>6001</v>
      </c>
      <c r="V661" s="253">
        <v>-42</v>
      </c>
      <c r="W661" s="254">
        <v>5959</v>
      </c>
      <c r="X661" s="252">
        <v>797</v>
      </c>
      <c r="Y661" s="252">
        <v>2750</v>
      </c>
      <c r="Z661" s="253">
        <v>2454</v>
      </c>
      <c r="AA661" s="262">
        <v>5128</v>
      </c>
      <c r="AB661" s="272">
        <v>5636.2806051106936</v>
      </c>
    </row>
    <row r="662" spans="1:28" ht="13.5" customHeight="1">
      <c r="A662" s="18">
        <v>34</v>
      </c>
      <c r="B662" s="19" t="s">
        <v>39</v>
      </c>
      <c r="C662" s="251">
        <v>222</v>
      </c>
      <c r="D662" s="252">
        <v>0</v>
      </c>
      <c r="E662" s="252">
        <v>14</v>
      </c>
      <c r="F662" s="252">
        <v>0</v>
      </c>
      <c r="G662" s="252">
        <v>88</v>
      </c>
      <c r="H662" s="252">
        <v>63</v>
      </c>
      <c r="I662" s="252">
        <v>969</v>
      </c>
      <c r="J662" s="252">
        <v>61</v>
      </c>
      <c r="K662" s="252">
        <v>90</v>
      </c>
      <c r="L662" s="252">
        <v>436</v>
      </c>
      <c r="M662" s="252">
        <v>0</v>
      </c>
      <c r="N662" s="252">
        <v>3</v>
      </c>
      <c r="O662" s="252">
        <v>35</v>
      </c>
      <c r="P662" s="252">
        <v>79</v>
      </c>
      <c r="Q662" s="252">
        <v>435</v>
      </c>
      <c r="R662" s="252">
        <v>297</v>
      </c>
      <c r="S662" s="252">
        <v>182</v>
      </c>
      <c r="T662" s="252">
        <v>79</v>
      </c>
      <c r="U662" s="252">
        <v>3053</v>
      </c>
      <c r="V662" s="253">
        <v>-21</v>
      </c>
      <c r="W662" s="254">
        <v>3032</v>
      </c>
      <c r="X662" s="252">
        <v>236</v>
      </c>
      <c r="Y662" s="252">
        <v>1057</v>
      </c>
      <c r="Z662" s="253">
        <v>1760</v>
      </c>
      <c r="AA662" s="262">
        <v>5130</v>
      </c>
      <c r="AB662" s="272">
        <v>2839.4061068908532</v>
      </c>
    </row>
    <row r="663" spans="1:28" ht="13.5" customHeight="1">
      <c r="A663" s="18">
        <v>35</v>
      </c>
      <c r="B663" s="19" t="s">
        <v>40</v>
      </c>
      <c r="C663" s="251">
        <v>101</v>
      </c>
      <c r="D663" s="252">
        <v>4</v>
      </c>
      <c r="E663" s="252">
        <v>76</v>
      </c>
      <c r="F663" s="252">
        <v>38</v>
      </c>
      <c r="G663" s="252">
        <v>257</v>
      </c>
      <c r="H663" s="252">
        <v>191</v>
      </c>
      <c r="I663" s="252">
        <v>1105</v>
      </c>
      <c r="J663" s="252">
        <v>227</v>
      </c>
      <c r="K663" s="252">
        <v>231</v>
      </c>
      <c r="L663" s="252">
        <v>181</v>
      </c>
      <c r="M663" s="252">
        <v>0</v>
      </c>
      <c r="N663" s="252">
        <v>24</v>
      </c>
      <c r="O663" s="252">
        <v>146</v>
      </c>
      <c r="P663" s="252">
        <v>66</v>
      </c>
      <c r="Q663" s="252">
        <v>646</v>
      </c>
      <c r="R663" s="252">
        <v>432</v>
      </c>
      <c r="S663" s="252">
        <v>395</v>
      </c>
      <c r="T663" s="252">
        <v>130</v>
      </c>
      <c r="U663" s="252">
        <v>4250</v>
      </c>
      <c r="V663" s="253">
        <v>-29</v>
      </c>
      <c r="W663" s="254">
        <v>4221</v>
      </c>
      <c r="X663" s="252">
        <v>181</v>
      </c>
      <c r="Y663" s="252">
        <v>1400</v>
      </c>
      <c r="Z663" s="253">
        <v>2669</v>
      </c>
      <c r="AA663" s="262">
        <v>4732</v>
      </c>
      <c r="AB663" s="272">
        <v>3841.4258518728511</v>
      </c>
    </row>
    <row r="664" spans="1:28" ht="13.5" customHeight="1">
      <c r="A664" s="18">
        <v>36</v>
      </c>
      <c r="B664" s="19" t="s">
        <v>41</v>
      </c>
      <c r="C664" s="251">
        <v>319</v>
      </c>
      <c r="D664" s="252">
        <v>0</v>
      </c>
      <c r="E664" s="252">
        <v>103</v>
      </c>
      <c r="F664" s="252">
        <v>0</v>
      </c>
      <c r="G664" s="252">
        <v>117</v>
      </c>
      <c r="H664" s="252">
        <v>92</v>
      </c>
      <c r="I664" s="252">
        <v>1389</v>
      </c>
      <c r="J664" s="252">
        <v>172</v>
      </c>
      <c r="K664" s="252">
        <v>418</v>
      </c>
      <c r="L664" s="252">
        <v>242</v>
      </c>
      <c r="M664" s="252">
        <v>0</v>
      </c>
      <c r="N664" s="252">
        <v>20</v>
      </c>
      <c r="O664" s="252">
        <v>245</v>
      </c>
      <c r="P664" s="252">
        <v>30</v>
      </c>
      <c r="Q664" s="252">
        <v>739</v>
      </c>
      <c r="R664" s="252">
        <v>403</v>
      </c>
      <c r="S664" s="252">
        <v>429</v>
      </c>
      <c r="T664" s="252">
        <v>132</v>
      </c>
      <c r="U664" s="252">
        <v>4850</v>
      </c>
      <c r="V664" s="253">
        <v>-34</v>
      </c>
      <c r="W664" s="254">
        <v>4816</v>
      </c>
      <c r="X664" s="252">
        <v>422</v>
      </c>
      <c r="Y664" s="252">
        <v>1506</v>
      </c>
      <c r="Z664" s="253">
        <v>2922</v>
      </c>
      <c r="AA664" s="262">
        <v>5027</v>
      </c>
      <c r="AB664" s="272">
        <v>4390.383549057985</v>
      </c>
    </row>
    <row r="665" spans="1:28" ht="13.5" customHeight="1">
      <c r="A665" s="18">
        <v>37</v>
      </c>
      <c r="B665" s="19" t="s">
        <v>49</v>
      </c>
      <c r="C665" s="251">
        <v>865</v>
      </c>
      <c r="D665" s="252">
        <v>0</v>
      </c>
      <c r="E665" s="252">
        <v>421</v>
      </c>
      <c r="F665" s="252">
        <v>75</v>
      </c>
      <c r="G665" s="252">
        <v>1232</v>
      </c>
      <c r="H665" s="252">
        <v>830</v>
      </c>
      <c r="I665" s="252">
        <v>3749</v>
      </c>
      <c r="J665" s="252">
        <v>1310</v>
      </c>
      <c r="K665" s="252">
        <v>938</v>
      </c>
      <c r="L665" s="252">
        <v>1319</v>
      </c>
      <c r="M665" s="252">
        <v>0</v>
      </c>
      <c r="N665" s="252">
        <v>241</v>
      </c>
      <c r="O665" s="252">
        <v>1934</v>
      </c>
      <c r="P665" s="252">
        <v>1081</v>
      </c>
      <c r="Q665" s="252">
        <v>4065</v>
      </c>
      <c r="R665" s="252">
        <v>1888</v>
      </c>
      <c r="S665" s="252">
        <v>2047</v>
      </c>
      <c r="T665" s="252">
        <v>1122</v>
      </c>
      <c r="U665" s="252">
        <v>23117</v>
      </c>
      <c r="V665" s="253">
        <v>-161</v>
      </c>
      <c r="W665" s="254">
        <v>22956</v>
      </c>
      <c r="X665" s="252">
        <v>1286</v>
      </c>
      <c r="Y665" s="252">
        <v>5056</v>
      </c>
      <c r="Z665" s="253">
        <v>16775</v>
      </c>
      <c r="AA665" s="262">
        <v>4927</v>
      </c>
      <c r="AB665" s="272">
        <v>22009.556647017762</v>
      </c>
    </row>
    <row r="666" spans="1:28" ht="13.5" customHeight="1">
      <c r="A666" s="20">
        <v>38</v>
      </c>
      <c r="B666" s="21" t="s">
        <v>50</v>
      </c>
      <c r="C666" s="255">
        <v>2093</v>
      </c>
      <c r="D666" s="256">
        <v>0</v>
      </c>
      <c r="E666" s="256">
        <v>163</v>
      </c>
      <c r="F666" s="256">
        <v>113</v>
      </c>
      <c r="G666" s="256">
        <v>2149</v>
      </c>
      <c r="H666" s="256">
        <v>1862</v>
      </c>
      <c r="I666" s="256">
        <v>5632</v>
      </c>
      <c r="J666" s="256">
        <v>3452</v>
      </c>
      <c r="K666" s="256">
        <v>1898</v>
      </c>
      <c r="L666" s="256">
        <v>756</v>
      </c>
      <c r="M666" s="256">
        <v>937</v>
      </c>
      <c r="N666" s="256">
        <v>1021</v>
      </c>
      <c r="O666" s="256">
        <v>9972</v>
      </c>
      <c r="P666" s="256">
        <v>3312</v>
      </c>
      <c r="Q666" s="256">
        <v>6773</v>
      </c>
      <c r="R666" s="256">
        <v>6812</v>
      </c>
      <c r="S666" s="256">
        <v>12400</v>
      </c>
      <c r="T666" s="256">
        <v>2962</v>
      </c>
      <c r="U666" s="256">
        <v>62307</v>
      </c>
      <c r="V666" s="257">
        <v>-434</v>
      </c>
      <c r="W666" s="258">
        <v>61873</v>
      </c>
      <c r="X666" s="256">
        <v>2256</v>
      </c>
      <c r="Y666" s="256">
        <v>7894</v>
      </c>
      <c r="Z666" s="257">
        <v>52157</v>
      </c>
      <c r="AA666" s="263">
        <v>5054</v>
      </c>
      <c r="AB666" s="273">
        <v>58909.389938341956</v>
      </c>
    </row>
    <row r="667" spans="1:28" ht="13.5" customHeight="1">
      <c r="A667" s="20">
        <v>39</v>
      </c>
      <c r="B667" s="21" t="s">
        <v>42</v>
      </c>
      <c r="C667" s="243">
        <v>440</v>
      </c>
      <c r="D667" s="244">
        <v>0</v>
      </c>
      <c r="E667" s="244">
        <v>1</v>
      </c>
      <c r="F667" s="244">
        <v>0</v>
      </c>
      <c r="G667" s="244">
        <v>561</v>
      </c>
      <c r="H667" s="244">
        <v>127</v>
      </c>
      <c r="I667" s="244">
        <v>545</v>
      </c>
      <c r="J667" s="244">
        <v>123</v>
      </c>
      <c r="K667" s="244">
        <v>189</v>
      </c>
      <c r="L667" s="244">
        <v>178</v>
      </c>
      <c r="M667" s="244">
        <v>0</v>
      </c>
      <c r="N667" s="244">
        <v>5</v>
      </c>
      <c r="O667" s="244">
        <v>208</v>
      </c>
      <c r="P667" s="244">
        <v>94</v>
      </c>
      <c r="Q667" s="244">
        <v>610</v>
      </c>
      <c r="R667" s="244">
        <v>417</v>
      </c>
      <c r="S667" s="244">
        <v>184</v>
      </c>
      <c r="T667" s="244">
        <v>113</v>
      </c>
      <c r="U667" s="244">
        <v>3795</v>
      </c>
      <c r="V667" s="245">
        <v>-27</v>
      </c>
      <c r="W667" s="246">
        <v>3768</v>
      </c>
      <c r="X667" s="244">
        <v>441</v>
      </c>
      <c r="Y667" s="244">
        <v>1106</v>
      </c>
      <c r="Z667" s="245">
        <v>2248</v>
      </c>
      <c r="AA667" s="260">
        <v>4646</v>
      </c>
      <c r="AB667" s="270">
        <v>3701.4034439757102</v>
      </c>
    </row>
    <row r="668" spans="1:28" ht="13.5" customHeight="1">
      <c r="A668" s="18">
        <v>40</v>
      </c>
      <c r="B668" s="19" t="s">
        <v>43</v>
      </c>
      <c r="C668" s="247">
        <v>796</v>
      </c>
      <c r="D668" s="248">
        <v>8</v>
      </c>
      <c r="E668" s="248">
        <v>133</v>
      </c>
      <c r="F668" s="248">
        <v>0</v>
      </c>
      <c r="G668" s="248">
        <v>843</v>
      </c>
      <c r="H668" s="248">
        <v>323</v>
      </c>
      <c r="I668" s="248">
        <v>1503</v>
      </c>
      <c r="J668" s="248">
        <v>386</v>
      </c>
      <c r="K668" s="248">
        <v>1016</v>
      </c>
      <c r="L668" s="248">
        <v>4379</v>
      </c>
      <c r="M668" s="248">
        <v>0</v>
      </c>
      <c r="N668" s="248">
        <v>27</v>
      </c>
      <c r="O668" s="248">
        <v>1108</v>
      </c>
      <c r="P668" s="248">
        <v>874</v>
      </c>
      <c r="Q668" s="248">
        <v>732</v>
      </c>
      <c r="R668" s="248">
        <v>2140</v>
      </c>
      <c r="S668" s="248">
        <v>514</v>
      </c>
      <c r="T668" s="248">
        <v>2417</v>
      </c>
      <c r="U668" s="248">
        <v>17199</v>
      </c>
      <c r="V668" s="249">
        <v>-120</v>
      </c>
      <c r="W668" s="250">
        <v>17079</v>
      </c>
      <c r="X668" s="248">
        <v>937</v>
      </c>
      <c r="Y668" s="248">
        <v>2346</v>
      </c>
      <c r="Z668" s="249">
        <v>13916</v>
      </c>
      <c r="AA668" s="261">
        <v>5337</v>
      </c>
      <c r="AB668" s="271">
        <v>15184.190288934105</v>
      </c>
    </row>
    <row r="669" spans="1:28" ht="13.5" customHeight="1">
      <c r="A669" s="20">
        <v>41</v>
      </c>
      <c r="B669" s="21" t="s">
        <v>44</v>
      </c>
      <c r="C669" s="255">
        <v>102</v>
      </c>
      <c r="D669" s="256">
        <v>0</v>
      </c>
      <c r="E669" s="256">
        <v>150</v>
      </c>
      <c r="F669" s="256">
        <v>188</v>
      </c>
      <c r="G669" s="256">
        <v>556</v>
      </c>
      <c r="H669" s="256">
        <v>142</v>
      </c>
      <c r="I669" s="256">
        <v>861</v>
      </c>
      <c r="J669" s="256">
        <v>187</v>
      </c>
      <c r="K669" s="256">
        <v>263</v>
      </c>
      <c r="L669" s="256">
        <v>563</v>
      </c>
      <c r="M669" s="256">
        <v>0</v>
      </c>
      <c r="N669" s="256">
        <v>23</v>
      </c>
      <c r="O669" s="256">
        <v>345</v>
      </c>
      <c r="P669" s="256">
        <v>309</v>
      </c>
      <c r="Q669" s="256">
        <v>3221</v>
      </c>
      <c r="R669" s="256">
        <v>686</v>
      </c>
      <c r="S669" s="256">
        <v>475</v>
      </c>
      <c r="T669" s="256">
        <v>246</v>
      </c>
      <c r="U669" s="256">
        <v>8317</v>
      </c>
      <c r="V669" s="257">
        <v>-58</v>
      </c>
      <c r="W669" s="258">
        <v>8259</v>
      </c>
      <c r="X669" s="256">
        <v>252</v>
      </c>
      <c r="Y669" s="256">
        <v>1605</v>
      </c>
      <c r="Z669" s="257">
        <v>6460</v>
      </c>
      <c r="AA669" s="263">
        <v>5641</v>
      </c>
      <c r="AB669" s="273">
        <v>7681.7293120213908</v>
      </c>
    </row>
    <row r="670" spans="1:28" ht="15.75" customHeight="1">
      <c r="A670" s="111" t="s">
        <v>146</v>
      </c>
      <c r="B670" s="7" t="s">
        <v>139</v>
      </c>
      <c r="C670" s="247">
        <v>10481</v>
      </c>
      <c r="D670" s="248">
        <v>187</v>
      </c>
      <c r="E670" s="248">
        <v>1922</v>
      </c>
      <c r="F670" s="248">
        <v>4499</v>
      </c>
      <c r="G670" s="248">
        <v>19118</v>
      </c>
      <c r="H670" s="248">
        <v>14335</v>
      </c>
      <c r="I670" s="248">
        <v>50104</v>
      </c>
      <c r="J670" s="248">
        <v>24314</v>
      </c>
      <c r="K670" s="248">
        <v>20905</v>
      </c>
      <c r="L670" s="248">
        <v>49180</v>
      </c>
      <c r="M670" s="248">
        <v>4085</v>
      </c>
      <c r="N670" s="248">
        <v>7182</v>
      </c>
      <c r="O670" s="248">
        <v>46808</v>
      </c>
      <c r="P670" s="248">
        <v>25899</v>
      </c>
      <c r="Q670" s="248">
        <v>33512</v>
      </c>
      <c r="R670" s="248">
        <v>38289</v>
      </c>
      <c r="S670" s="248">
        <v>55517</v>
      </c>
      <c r="T670" s="248">
        <v>26765</v>
      </c>
      <c r="U670" s="248">
        <v>433102</v>
      </c>
      <c r="V670" s="249">
        <v>-3015</v>
      </c>
      <c r="W670" s="250">
        <v>430087</v>
      </c>
      <c r="X670" s="248">
        <v>12590</v>
      </c>
      <c r="Y670" s="248">
        <v>73721</v>
      </c>
      <c r="Z670" s="249">
        <v>346791</v>
      </c>
      <c r="AA670" s="261">
        <v>5324</v>
      </c>
      <c r="AB670" s="271">
        <v>418173.7224694555</v>
      </c>
    </row>
    <row r="671" spans="1:28" ht="15.75" customHeight="1">
      <c r="A671" s="112" t="s">
        <v>147</v>
      </c>
      <c r="B671" s="17" t="s">
        <v>140</v>
      </c>
      <c r="C671" s="251">
        <v>3347</v>
      </c>
      <c r="D671" s="252">
        <v>16</v>
      </c>
      <c r="E671" s="252">
        <v>1738</v>
      </c>
      <c r="F671" s="252">
        <v>2516</v>
      </c>
      <c r="G671" s="252">
        <v>105134</v>
      </c>
      <c r="H671" s="252">
        <v>61415</v>
      </c>
      <c r="I671" s="252">
        <v>149811</v>
      </c>
      <c r="J671" s="252">
        <v>191907</v>
      </c>
      <c r="K671" s="252">
        <v>71596</v>
      </c>
      <c r="L671" s="252">
        <v>52331</v>
      </c>
      <c r="M671" s="252">
        <v>60137</v>
      </c>
      <c r="N671" s="252">
        <v>49990</v>
      </c>
      <c r="O671" s="252">
        <v>256059</v>
      </c>
      <c r="P671" s="252">
        <v>174967</v>
      </c>
      <c r="Q671" s="252">
        <v>110263</v>
      </c>
      <c r="R671" s="252">
        <v>107960</v>
      </c>
      <c r="S671" s="252">
        <v>224370</v>
      </c>
      <c r="T671" s="252">
        <v>93844</v>
      </c>
      <c r="U671" s="252">
        <v>1717401</v>
      </c>
      <c r="V671" s="253">
        <v>-11961</v>
      </c>
      <c r="W671" s="254">
        <v>1705440</v>
      </c>
      <c r="X671" s="252">
        <v>5101</v>
      </c>
      <c r="Y671" s="252">
        <v>257461</v>
      </c>
      <c r="Z671" s="253">
        <v>1454839</v>
      </c>
      <c r="AA671" s="262">
        <v>5975</v>
      </c>
      <c r="AB671" s="272">
        <v>1667214.4258359161</v>
      </c>
    </row>
    <row r="672" spans="1:28" ht="15.75" customHeight="1">
      <c r="A672" s="112" t="s">
        <v>148</v>
      </c>
      <c r="B672" s="17" t="s">
        <v>141</v>
      </c>
      <c r="C672" s="251">
        <v>10268</v>
      </c>
      <c r="D672" s="252">
        <v>22</v>
      </c>
      <c r="E672" s="252">
        <v>2198</v>
      </c>
      <c r="F672" s="252">
        <v>1991</v>
      </c>
      <c r="G672" s="252">
        <v>46702</v>
      </c>
      <c r="H672" s="252">
        <v>18149</v>
      </c>
      <c r="I672" s="252">
        <v>71306</v>
      </c>
      <c r="J672" s="252">
        <v>56623</v>
      </c>
      <c r="K672" s="252">
        <v>37951</v>
      </c>
      <c r="L672" s="252">
        <v>23588</v>
      </c>
      <c r="M672" s="252">
        <v>11667</v>
      </c>
      <c r="N672" s="252">
        <v>10753</v>
      </c>
      <c r="O672" s="252">
        <v>92503</v>
      </c>
      <c r="P672" s="252">
        <v>42034</v>
      </c>
      <c r="Q672" s="252">
        <v>47512</v>
      </c>
      <c r="R672" s="252">
        <v>46477</v>
      </c>
      <c r="S672" s="252">
        <v>111821</v>
      </c>
      <c r="T672" s="252">
        <v>35922</v>
      </c>
      <c r="U672" s="252">
        <v>667487</v>
      </c>
      <c r="V672" s="253">
        <v>-4648</v>
      </c>
      <c r="W672" s="254">
        <v>662839</v>
      </c>
      <c r="X672" s="252">
        <v>12488</v>
      </c>
      <c r="Y672" s="252">
        <v>119999</v>
      </c>
      <c r="Z672" s="253">
        <v>535000</v>
      </c>
      <c r="AA672" s="262">
        <v>5257</v>
      </c>
      <c r="AB672" s="272">
        <v>621582.66281837889</v>
      </c>
    </row>
    <row r="673" spans="1:28" ht="15.75" customHeight="1">
      <c r="A673" s="112" t="s">
        <v>149</v>
      </c>
      <c r="B673" s="17" t="s">
        <v>142</v>
      </c>
      <c r="C673" s="251">
        <v>270</v>
      </c>
      <c r="D673" s="252">
        <v>44</v>
      </c>
      <c r="E673" s="252">
        <v>2037</v>
      </c>
      <c r="F673" s="252">
        <v>751</v>
      </c>
      <c r="G673" s="252">
        <v>14710</v>
      </c>
      <c r="H673" s="252">
        <v>29520</v>
      </c>
      <c r="I673" s="252">
        <v>63250</v>
      </c>
      <c r="J673" s="252">
        <v>127138</v>
      </c>
      <c r="K673" s="252">
        <v>150029</v>
      </c>
      <c r="L673" s="252">
        <v>63015</v>
      </c>
      <c r="M673" s="252">
        <v>95135</v>
      </c>
      <c r="N673" s="252">
        <v>109760</v>
      </c>
      <c r="O673" s="252">
        <v>154428</v>
      </c>
      <c r="P673" s="252">
        <v>200269</v>
      </c>
      <c r="Q673" s="252">
        <v>213737</v>
      </c>
      <c r="R673" s="252">
        <v>44691</v>
      </c>
      <c r="S673" s="252">
        <v>130190</v>
      </c>
      <c r="T673" s="252">
        <v>58795</v>
      </c>
      <c r="U673" s="252">
        <v>1457769</v>
      </c>
      <c r="V673" s="253">
        <v>-10149</v>
      </c>
      <c r="W673" s="254">
        <v>1447620</v>
      </c>
      <c r="X673" s="252">
        <v>2351</v>
      </c>
      <c r="Y673" s="252">
        <v>78711</v>
      </c>
      <c r="Z673" s="253">
        <v>1376707</v>
      </c>
      <c r="AA673" s="262">
        <v>7218</v>
      </c>
      <c r="AB673" s="272">
        <v>1349130.9025485108</v>
      </c>
    </row>
    <row r="674" spans="1:28" ht="15.75" customHeight="1">
      <c r="A674" s="112" t="s">
        <v>150</v>
      </c>
      <c r="B674" s="17" t="s">
        <v>143</v>
      </c>
      <c r="C674" s="251">
        <v>5501</v>
      </c>
      <c r="D674" s="252">
        <v>55</v>
      </c>
      <c r="E674" s="252">
        <v>588</v>
      </c>
      <c r="F674" s="252">
        <v>488</v>
      </c>
      <c r="G674" s="252">
        <v>8060</v>
      </c>
      <c r="H674" s="252">
        <v>4942</v>
      </c>
      <c r="I674" s="252">
        <v>22520</v>
      </c>
      <c r="J674" s="252">
        <v>19707</v>
      </c>
      <c r="K674" s="252">
        <v>13870</v>
      </c>
      <c r="L674" s="252">
        <v>14377</v>
      </c>
      <c r="M674" s="252">
        <v>1978</v>
      </c>
      <c r="N674" s="252">
        <v>3276</v>
      </c>
      <c r="O674" s="252">
        <v>19084</v>
      </c>
      <c r="P674" s="252">
        <v>14462</v>
      </c>
      <c r="Q674" s="252">
        <v>28419</v>
      </c>
      <c r="R674" s="252">
        <v>11044</v>
      </c>
      <c r="S674" s="252">
        <v>21241</v>
      </c>
      <c r="T674" s="252">
        <v>8449</v>
      </c>
      <c r="U674" s="252">
        <v>198061</v>
      </c>
      <c r="V674" s="253">
        <v>-1379</v>
      </c>
      <c r="W674" s="254">
        <v>196682</v>
      </c>
      <c r="X674" s="252">
        <v>6144</v>
      </c>
      <c r="Y674" s="252">
        <v>31068</v>
      </c>
      <c r="Z674" s="253">
        <v>160849</v>
      </c>
      <c r="AA674" s="262">
        <v>5897</v>
      </c>
      <c r="AB674" s="272">
        <v>186069.92467516047</v>
      </c>
    </row>
    <row r="675" spans="1:28" ht="15.75" customHeight="1">
      <c r="A675" s="113" t="s">
        <v>151</v>
      </c>
      <c r="B675" s="105" t="s">
        <v>144</v>
      </c>
      <c r="C675" s="255">
        <v>4408</v>
      </c>
      <c r="D675" s="256">
        <v>29</v>
      </c>
      <c r="E675" s="256">
        <v>865</v>
      </c>
      <c r="F675" s="256">
        <v>601</v>
      </c>
      <c r="G675" s="256">
        <v>5381</v>
      </c>
      <c r="H675" s="256">
        <v>5489</v>
      </c>
      <c r="I675" s="256">
        <v>23979</v>
      </c>
      <c r="J675" s="256">
        <v>13414</v>
      </c>
      <c r="K675" s="256">
        <v>19013</v>
      </c>
      <c r="L675" s="256">
        <v>20555</v>
      </c>
      <c r="M675" s="256">
        <v>1378</v>
      </c>
      <c r="N675" s="256">
        <v>3211</v>
      </c>
      <c r="O675" s="256">
        <v>20319</v>
      </c>
      <c r="P675" s="256">
        <v>16695</v>
      </c>
      <c r="Q675" s="256">
        <v>25977</v>
      </c>
      <c r="R675" s="256">
        <v>12633</v>
      </c>
      <c r="S675" s="256">
        <v>15972</v>
      </c>
      <c r="T675" s="256">
        <v>11778</v>
      </c>
      <c r="U675" s="256">
        <v>201697</v>
      </c>
      <c r="V675" s="257">
        <v>-1405</v>
      </c>
      <c r="W675" s="258">
        <v>200292</v>
      </c>
      <c r="X675" s="256">
        <v>5302</v>
      </c>
      <c r="Y675" s="256">
        <v>29961</v>
      </c>
      <c r="Z675" s="257">
        <v>166434</v>
      </c>
      <c r="AA675" s="263">
        <v>6647</v>
      </c>
      <c r="AB675" s="273">
        <v>188324.78289441182</v>
      </c>
    </row>
    <row r="676" spans="1:28" ht="15.75" customHeight="1">
      <c r="A676" s="222" t="s">
        <v>293</v>
      </c>
      <c r="B676" s="25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</row>
  </sheetData>
  <phoneticPr fontId="3"/>
  <printOptions headings="1"/>
  <pageMargins left="0.78740157480314965" right="0.70866141732283472" top="0.74803149606299213" bottom="0.74803149606299213" header="0.31496062992125984" footer="0.31496062992125984"/>
  <pageSetup paperSize="9" scale="34" fitToHeight="0" orientation="landscape" r:id="rId1"/>
  <headerFooter>
    <oddHeader>&amp;R&amp;"ＭＳ ゴシック,標準"&amp;10&amp;D</oddHeader>
  </headerFooter>
  <rowBreaks count="12" manualBreakCount="12">
    <brk id="52" max="27" man="1"/>
    <brk id="104" max="27" man="1"/>
    <brk id="156" max="27" man="1"/>
    <brk id="208" max="27" man="1"/>
    <brk id="260" max="27" man="1"/>
    <brk id="312" max="27" man="1"/>
    <brk id="364" max="27" man="1"/>
    <brk id="416" max="27" man="1"/>
    <brk id="468" max="27" man="1"/>
    <brk id="520" max="27" man="1"/>
    <brk id="572" max="27" man="1"/>
    <brk id="624" max="27" man="1"/>
  </rowBreaks>
  <ignoredErrors>
    <ignoredError sqref="A4:A45 A46:A51 A56:A103 A108:A155 A160:A207 A212:A259 A264:A311 A316:A363 A368:A415 A420:A467 A472:A5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64"/>
  <sheetViews>
    <sheetView showGridLines="0" tabSelected="1" view="pageBreakPreview" zoomScale="70" zoomScaleNormal="90" zoomScaleSheetLayoutView="70" workbookViewId="0">
      <pane xSplit="1" ySplit="2" topLeftCell="B3" activePane="bottomRight" state="frozen"/>
      <selection pane="topRight" activeCell="B1" sqref="B1"/>
      <selection pane="bottomLeft" activeCell="A4" sqref="A4"/>
      <selection pane="bottomRight"/>
    </sheetView>
  </sheetViews>
  <sheetFormatPr defaultColWidth="9" defaultRowHeight="16.5" customHeight="1"/>
  <cols>
    <col min="1" max="1" width="2.5" style="24" customWidth="1"/>
    <col min="2" max="2" width="37.33203125" style="24" customWidth="1"/>
    <col min="3" max="5" width="11.25" style="24" customWidth="1"/>
    <col min="6" max="11" width="9.33203125" style="24" customWidth="1"/>
    <col min="12" max="12" width="10" style="24" customWidth="1"/>
    <col min="13" max="16384" width="9" style="24"/>
  </cols>
  <sheetData>
    <row r="1" spans="1:12" ht="16.5" customHeight="1" thickBot="1">
      <c r="A1" s="83" t="str">
        <f ca="1">RIGHT(CELL("filename",A1),LEN(CELL("filename",A1))-FIND("]",CELL("filename",A1)))</f>
        <v>地域分析</v>
      </c>
    </row>
    <row r="2" spans="1:12" ht="16.5" customHeight="1" thickBot="1">
      <c r="A2" s="300"/>
      <c r="B2" s="356" t="s">
        <v>2</v>
      </c>
      <c r="C2" s="301" t="s">
        <v>274</v>
      </c>
      <c r="D2" s="302"/>
      <c r="E2" s="357" t="s">
        <v>186</v>
      </c>
      <c r="F2" s="301" t="s">
        <v>273</v>
      </c>
      <c r="G2" s="302"/>
      <c r="H2" s="302"/>
      <c r="I2" s="302"/>
      <c r="J2" s="302"/>
      <c r="K2" s="302"/>
    </row>
    <row r="3" spans="1:12" ht="16.5" customHeight="1">
      <c r="A3" s="303"/>
      <c r="B3" s="304"/>
      <c r="C3" s="304"/>
      <c r="D3" s="305"/>
      <c r="E3" s="305"/>
      <c r="F3" s="305"/>
      <c r="G3" s="305"/>
      <c r="H3" s="306"/>
      <c r="I3" s="305"/>
      <c r="J3" s="305"/>
      <c r="K3" s="305"/>
    </row>
    <row r="4" spans="1:12" ht="16.5" customHeight="1">
      <c r="A4" s="307"/>
      <c r="B4" s="308"/>
      <c r="C4" s="358" t="s">
        <v>98</v>
      </c>
      <c r="D4" s="359"/>
      <c r="E4" s="360"/>
      <c r="F4" s="359" t="s">
        <v>102</v>
      </c>
      <c r="G4" s="359"/>
      <c r="H4" s="358" t="s">
        <v>103</v>
      </c>
      <c r="I4" s="360"/>
      <c r="J4" s="359" t="s">
        <v>104</v>
      </c>
      <c r="K4" s="360"/>
    </row>
    <row r="5" spans="1:12" ht="16.5" customHeight="1">
      <c r="A5" s="309"/>
      <c r="B5" s="310"/>
      <c r="C5" s="311" t="str">
        <f>コード表!$I$109</f>
        <v>令和３年度</v>
      </c>
      <c r="D5" s="311" t="str">
        <f>コード表!$J$109</f>
        <v>令和４年度</v>
      </c>
      <c r="E5" s="311" t="str">
        <f>コード表!$K$109</f>
        <v>令和５年度</v>
      </c>
      <c r="F5" s="312" t="str">
        <f>コード表!$J$110</f>
        <v>R4</v>
      </c>
      <c r="G5" s="313" t="str">
        <f>コード表!$K$110</f>
        <v>R5</v>
      </c>
      <c r="H5" s="312" t="str">
        <f>コード表!$J$110</f>
        <v>R4</v>
      </c>
      <c r="I5" s="313" t="str">
        <f>コード表!$K$110</f>
        <v>R5</v>
      </c>
      <c r="J5" s="312" t="str">
        <f>コード表!$J$110</f>
        <v>R4</v>
      </c>
      <c r="K5" s="313" t="str">
        <f>コード表!$K$110</f>
        <v>R5</v>
      </c>
    </row>
    <row r="6" spans="1:12" ht="16.5" customHeight="1">
      <c r="A6" s="314">
        <v>1</v>
      </c>
      <c r="B6" s="315" t="s">
        <v>72</v>
      </c>
      <c r="C6" s="316">
        <f ca="1">IF(C$5="","",HLOOKUP(コード表!$I$108,地域分析BD!$C$4:$O$31,24,FALSE))</f>
        <v>2195</v>
      </c>
      <c r="D6" s="316">
        <f ca="1">IF(D$5="","",HLOOKUP(コード表!$J$108,地域分析BD!$C$4:$O$31,24,FALSE))</f>
        <v>1939</v>
      </c>
      <c r="E6" s="316">
        <f ca="1">HLOOKUP(コード表!$K$108,地域分析BD!$C$4:$O$31,24,FALSE)</f>
        <v>2351</v>
      </c>
      <c r="F6" s="317">
        <f ca="1">IF(F$5="","",IF(F$5="H23","-",HLOOKUP(コード表!J$108,地域分析BD!$C$36:$O$63,24,FALSE)))</f>
        <v>-11.663</v>
      </c>
      <c r="G6" s="317">
        <f ca="1">IF(G$5="","",IF(G$5="H23","-",HLOOKUP(コード表!K$108,地域分析BD!$C$36:$O$63,24,FALSE)))</f>
        <v>21.248000000000001</v>
      </c>
      <c r="H6" s="318">
        <f ca="1">IF(H$5="","",HLOOKUP(コード表!$J$108,地域分析BD!$C$68:$O$93,24,FALSE))</f>
        <v>0.1</v>
      </c>
      <c r="I6" s="318">
        <f ca="1">HLOOKUP(コード表!$K$108,地域分析BD!$C$68:$O$93,24,FALSE)</f>
        <v>0.2</v>
      </c>
      <c r="J6" s="318">
        <f ca="1">IF(J$5="","",IF(J$5="H23","-",HLOOKUP(コード表!J$108,地域分析BD!$C$100:$O$125,24,FALSE)))</f>
        <v>-1.9256126795577408E-2</v>
      </c>
      <c r="K6" s="318">
        <f ca="1">IF(K$5="","",IF(K$5="H23","-",HLOOKUP(コード表!K$108,地域分析BD!$C$100:$O$125,24,FALSE)))</f>
        <v>2.9943884288691023E-2</v>
      </c>
      <c r="L6" s="319"/>
    </row>
    <row r="7" spans="1:12" ht="16.5" customHeight="1">
      <c r="A7" s="320"/>
      <c r="B7" s="321" t="s">
        <v>51</v>
      </c>
      <c r="C7" s="322">
        <f ca="1">IF(C$5="","",HLOOKUP(コード表!$I$108,地域分析BD!$C$4:$O$31,3,FALSE))</f>
        <v>317</v>
      </c>
      <c r="D7" s="322">
        <f ca="1">IF(D$5="","",HLOOKUP(コード表!$J$108,地域分析BD!$C$4:$O$31,3,FALSE))</f>
        <v>244</v>
      </c>
      <c r="E7" s="322">
        <f ca="1">HLOOKUP(コード表!$K$108,地域分析BD!$C$4:$O$31,3,FALSE)</f>
        <v>270</v>
      </c>
      <c r="F7" s="323">
        <f ca="1">IF(F$5="","",IF(F$5="H23","-",HLOOKUP(コード表!J$108,地域分析BD!$C$36:$O$63,3,FALSE)))</f>
        <v>-23.027999999999999</v>
      </c>
      <c r="G7" s="323">
        <f ca="1">IF(G$5="","",IF(G$5="H23","-",HLOOKUP(コード表!K$108,地域分析BD!$C$36:$O$63,3,FALSE)))</f>
        <v>10.656000000000001</v>
      </c>
      <c r="H7" s="323">
        <f ca="1">IF(H$5="","",HLOOKUP(コード表!$J$108,地域分析BD!$C$68:$O$93,3,FALSE))</f>
        <v>0</v>
      </c>
      <c r="I7" s="323">
        <f ca="1">HLOOKUP(コード表!$K$108,地域分析BD!$C$68:$O$93,3,FALSE)</f>
        <v>0</v>
      </c>
      <c r="J7" s="323">
        <f ca="1">IF(J$5="","",IF(J$5="H23","-",HLOOKUP(コード表!J$108,地域分析BD!$C$100:$O$125,3,FALSE)))</f>
        <v>-5.4910049065513703E-3</v>
      </c>
      <c r="K7" s="323">
        <f ca="1">IF(K$5="","",IF(K$5="H23","-",HLOOKUP(コード表!K$108,地域分析BD!$C$100:$O$125,3,FALSE)))</f>
        <v>1.8896626007426373E-3</v>
      </c>
      <c r="L7" s="319"/>
    </row>
    <row r="8" spans="1:12" ht="16.5" customHeight="1">
      <c r="A8" s="324"/>
      <c r="B8" s="325" t="s">
        <v>52</v>
      </c>
      <c r="C8" s="326">
        <f ca="1">IF(C$5="","",HLOOKUP(コード表!$I$108,地域分析BD!$C$4:$O$31,4,FALSE))</f>
        <v>53</v>
      </c>
      <c r="D8" s="326">
        <f ca="1">IF(D$5="","",HLOOKUP(コード表!$J$108,地域分析BD!$C$4:$O$31,4,FALSE))</f>
        <v>45</v>
      </c>
      <c r="E8" s="326">
        <f ca="1">HLOOKUP(コード表!$K$108,地域分析BD!$C$4:$O$31,4,FALSE)</f>
        <v>44</v>
      </c>
      <c r="F8" s="327">
        <f ca="1">IF(F$5="","",IF(F$5="H23","-",HLOOKUP(コード表!J$108,地域分析BD!$C$36:$O$63,4,FALSE)))</f>
        <v>-15.093999999999999</v>
      </c>
      <c r="G8" s="327">
        <f ca="1">IF(G$5="","",IF(G$5="H23","-",HLOOKUP(コード表!K$108,地域分析BD!$C$36:$O$63,4,FALSE)))</f>
        <v>-2.222</v>
      </c>
      <c r="H8" s="327">
        <f ca="1">IF(H$5="","",HLOOKUP(コード表!$J$108,地域分析BD!$C$68:$O$93,4,FALSE))</f>
        <v>0</v>
      </c>
      <c r="I8" s="327">
        <f ca="1">HLOOKUP(コード表!$K$108,地域分析BD!$C$68:$O$93,4,FALSE)</f>
        <v>0</v>
      </c>
      <c r="J8" s="327">
        <f ca="1">IF(J$5="","",IF(J$5="H23","-",HLOOKUP(コード表!J$108,地域分析BD!$C$100:$O$125,4,FALSE)))</f>
        <v>-6.01753962361794E-4</v>
      </c>
      <c r="K8" s="327">
        <f ca="1">IF(K$5="","",IF(K$5="H23","-",HLOOKUP(コード表!K$108,地域分析BD!$C$100:$O$125,4,FALSE)))</f>
        <v>-7.2679330797793752E-5</v>
      </c>
      <c r="L8" s="319"/>
    </row>
    <row r="9" spans="1:12" ht="16.5" customHeight="1">
      <c r="A9" s="324"/>
      <c r="B9" s="325" t="s">
        <v>53</v>
      </c>
      <c r="C9" s="328">
        <f ca="1">IF(C$5="","",HLOOKUP(コード表!$I$108,地域分析BD!$C$4:$O$31,5,FALSE))</f>
        <v>1825</v>
      </c>
      <c r="D9" s="328">
        <f ca="1">IF(D$5="","",HLOOKUP(コード表!$J$108,地域分析BD!$C$4:$O$31,5,FALSE))</f>
        <v>1650</v>
      </c>
      <c r="E9" s="328">
        <f ca="1">HLOOKUP(コード表!$K$108,地域分析BD!$C$4:$O$31,5,FALSE)</f>
        <v>2037</v>
      </c>
      <c r="F9" s="329">
        <f ca="1">IF(F$5="","",IF(F$5="H23","-",HLOOKUP(コード表!J$108,地域分析BD!$C$36:$O$63,5,FALSE)))</f>
        <v>-9.5890000000000004</v>
      </c>
      <c r="G9" s="329">
        <f ca="1">IF(G$5="","",IF(G$5="H23","-",HLOOKUP(コード表!K$108,地域分析BD!$C$36:$O$63,5,FALSE)))</f>
        <v>23.454999999999998</v>
      </c>
      <c r="H9" s="329">
        <f ca="1">IF(H$5="","",HLOOKUP(コード表!$J$108,地域分析BD!$C$68:$O$93,5,FALSE))</f>
        <v>0.1</v>
      </c>
      <c r="I9" s="329">
        <f ca="1">HLOOKUP(コード表!$K$108,地域分析BD!$C$68:$O$93,5,FALSE)</f>
        <v>0.1</v>
      </c>
      <c r="J9" s="329">
        <f ca="1">IF(J$5="","",IF(J$5="H23","-",HLOOKUP(コード表!J$108,地域分析BD!$C$100:$O$125,5,FALSE)))</f>
        <v>-1.3163367926664246E-2</v>
      </c>
      <c r="K9" s="329">
        <f ca="1">IF(K$5="","",IF(K$5="H23","-",HLOOKUP(コード表!K$108,地域分析BD!$C$100:$O$125,5,FALSE)))</f>
        <v>2.8126901018746178E-2</v>
      </c>
      <c r="L9" s="319"/>
    </row>
    <row r="10" spans="1:12" ht="16.5" customHeight="1">
      <c r="A10" s="314">
        <v>2</v>
      </c>
      <c r="B10" s="315" t="s">
        <v>73</v>
      </c>
      <c r="C10" s="330">
        <f ca="1">IF(C$5="","",HLOOKUP(コード表!$I$108,地域分析BD!$C$4:$O$31,25,FALSE))</f>
        <v>110350</v>
      </c>
      <c r="D10" s="330">
        <f ca="1">IF(D$5="","",HLOOKUP(コード表!$J$108,地域分析BD!$C$4:$O$31,25,FALSE))</f>
        <v>78006</v>
      </c>
      <c r="E10" s="330">
        <f ca="1">HLOOKUP(コード表!$K$108,地域分析BD!$C$4:$O$31,25,FALSE)</f>
        <v>78711</v>
      </c>
      <c r="F10" s="331">
        <f ca="1">IF(F$5="","",IF(F$5="H23","-",HLOOKUP(コード表!J$108,地域分析BD!$C$36:$O$63,25,FALSE)))</f>
        <v>-29.31</v>
      </c>
      <c r="G10" s="331">
        <f ca="1">IF(G$5="","",IF(G$5="H23","-",HLOOKUP(コード表!K$108,地域分析BD!$C$36:$O$63,25,FALSE)))</f>
        <v>0.90400000000000003</v>
      </c>
      <c r="H10" s="331">
        <f ca="1">IF(H$5="","",HLOOKUP(コード表!$J$108,地域分析BD!$C$68:$O$93,25,FALSE))</f>
        <v>5.7</v>
      </c>
      <c r="I10" s="331">
        <f ca="1">HLOOKUP(コード表!$K$108,地域分析BD!$C$68:$O$93,25,FALSE)</f>
        <v>5.4</v>
      </c>
      <c r="J10" s="331">
        <f ca="1">IF(J$5="","",IF(J$5="H23","-",HLOOKUP(コード表!J$108,地域分析BD!$C$100:$O$125,25,FALSE)))</f>
        <v>-2.4328912698287333</v>
      </c>
      <c r="K10" s="331">
        <f ca="1">IF(K$5="","",IF(K$5="H23","-",HLOOKUP(コード表!K$108,地域分析BD!$C$100:$O$125,25,FALSE)))</f>
        <v>5.1238928212444593E-2</v>
      </c>
      <c r="L10" s="319"/>
    </row>
    <row r="11" spans="1:12" ht="16.5" customHeight="1">
      <c r="A11" s="320"/>
      <c r="B11" s="321" t="s">
        <v>54</v>
      </c>
      <c r="C11" s="326">
        <f ca="1">IF(C$5="","",HLOOKUP(コード表!$I$108,地域分析BD!$C$4:$O$31,6,FALSE))</f>
        <v>606</v>
      </c>
      <c r="D11" s="326">
        <f ca="1">IF(D$5="","",HLOOKUP(コード表!$J$108,地域分析BD!$C$4:$O$31,6,FALSE))</f>
        <v>755</v>
      </c>
      <c r="E11" s="326">
        <f ca="1">HLOOKUP(コード表!$K$108,地域分析BD!$C$4:$O$31,6,FALSE)</f>
        <v>751</v>
      </c>
      <c r="F11" s="327">
        <f ca="1">IF(F$5="","",IF(F$5="H23","-",HLOOKUP(コード表!J$108,地域分析BD!$C$36:$O$63,6,FALSE)))</f>
        <v>24.587</v>
      </c>
      <c r="G11" s="327">
        <f ca="1">IF(G$5="","",IF(G$5="H23","-",HLOOKUP(コード表!K$108,地域分析BD!$C$36:$O$63,6,FALSE)))</f>
        <v>-0.53</v>
      </c>
      <c r="H11" s="327">
        <f ca="1">IF(H$5="","",HLOOKUP(コード表!$J$108,地域分析BD!$C$68:$O$93,6,FALSE))</f>
        <v>0.1</v>
      </c>
      <c r="I11" s="327">
        <f ca="1">HLOOKUP(コード表!$K$108,地域分析BD!$C$68:$O$93,6,FALSE)</f>
        <v>0.1</v>
      </c>
      <c r="J11" s="327">
        <f ca="1">IF(J$5="","",IF(J$5="H23","-",HLOOKUP(コード表!J$108,地域分析BD!$C$100:$O$125,6,FALSE)))</f>
        <v>1.1207667548988413E-2</v>
      </c>
      <c r="K11" s="327">
        <f ca="1">IF(K$5="","",IF(K$5="H23","-",HLOOKUP(コード表!K$108,地域分析BD!$C$100:$O$125,6,FALSE)))</f>
        <v>-2.9071732319117501E-4</v>
      </c>
      <c r="L11" s="319"/>
    </row>
    <row r="12" spans="1:12" ht="16.5" customHeight="1">
      <c r="A12" s="324"/>
      <c r="B12" s="325" t="s">
        <v>55</v>
      </c>
      <c r="C12" s="326">
        <f ca="1">IF(C$5="","",HLOOKUP(コード表!$I$108,地域分析BD!$C$4:$O$31,7,FALSE))</f>
        <v>13238</v>
      </c>
      <c r="D12" s="326">
        <f ca="1">IF(D$5="","",HLOOKUP(コード表!$J$108,地域分析BD!$C$4:$O$31,7,FALSE))</f>
        <v>13029</v>
      </c>
      <c r="E12" s="326">
        <f ca="1">HLOOKUP(コード表!$K$108,地域分析BD!$C$4:$O$31,7,FALSE)</f>
        <v>14710</v>
      </c>
      <c r="F12" s="327">
        <f ca="1">IF(F$5="","",IF(F$5="H23","-",HLOOKUP(コード表!J$108,地域分析BD!$C$36:$O$63,7,FALSE)))</f>
        <v>-1.579</v>
      </c>
      <c r="G12" s="327">
        <f ca="1">IF(G$5="","",IF(G$5="H23","-",HLOOKUP(コード表!K$108,地域分析BD!$C$36:$O$63,7,FALSE)))</f>
        <v>12.901999999999999</v>
      </c>
      <c r="H12" s="327">
        <f ca="1">IF(H$5="","",HLOOKUP(コード表!$J$108,地域分析BD!$C$68:$O$93,7,FALSE))</f>
        <v>0.9</v>
      </c>
      <c r="I12" s="327">
        <f ca="1">HLOOKUP(コード表!$K$108,地域分析BD!$C$68:$O$93,7,FALSE)</f>
        <v>1</v>
      </c>
      <c r="J12" s="327">
        <f ca="1">IF(J$5="","",IF(J$5="H23","-",HLOOKUP(コード表!J$108,地域分析BD!$C$100:$O$125,7,FALSE)))</f>
        <v>-1.5720822266701868E-2</v>
      </c>
      <c r="K12" s="327">
        <f ca="1">IF(K$5="","",IF(K$5="H23","-",HLOOKUP(コード表!K$108,地域分析BD!$C$100:$O$125,7,FALSE)))</f>
        <v>0.1221739550710913</v>
      </c>
      <c r="L12" s="319"/>
    </row>
    <row r="13" spans="1:12" ht="16.5" customHeight="1">
      <c r="A13" s="324"/>
      <c r="B13" s="325" t="s">
        <v>57</v>
      </c>
      <c r="C13" s="328">
        <f ca="1">IF(C$5="","",HLOOKUP(コード表!$I$108,地域分析BD!$C$4:$O$31,8,FALSE))</f>
        <v>96506</v>
      </c>
      <c r="D13" s="328">
        <f ca="1">IF(D$5="","",HLOOKUP(コード表!$J$108,地域分析BD!$C$4:$O$31,8,FALSE))</f>
        <v>64222</v>
      </c>
      <c r="E13" s="328">
        <f ca="1">HLOOKUP(コード表!$K$108,地域分析BD!$C$4:$O$31,8,FALSE)</f>
        <v>63250</v>
      </c>
      <c r="F13" s="329">
        <f ca="1">IF(F$5="","",IF(F$5="H23","-",HLOOKUP(コード表!J$108,地域分析BD!$C$36:$O$63,8,FALSE)))</f>
        <v>-33.453000000000003</v>
      </c>
      <c r="G13" s="329">
        <f ca="1">IF(G$5="","",IF(G$5="H23","-",HLOOKUP(コード表!K$108,地域分析BD!$C$36:$O$63,8,FALSE)))</f>
        <v>-1.514</v>
      </c>
      <c r="H13" s="329">
        <f ca="1">IF(H$5="","",HLOOKUP(コード表!$J$108,地域分析BD!$C$68:$O$93,8,FALSE))</f>
        <v>4.7</v>
      </c>
      <c r="I13" s="329">
        <f ca="1">HLOOKUP(コード表!$K$108,地域分析BD!$C$68:$O$93,8,FALSE)</f>
        <v>4.4000000000000004</v>
      </c>
      <c r="J13" s="329">
        <f ca="1">IF(J$5="","",IF(J$5="H23","-",HLOOKUP(コード表!J$108,地域分析BD!$C$100:$O$125,8,FALSE)))</f>
        <v>-2.4283781151110198</v>
      </c>
      <c r="K13" s="329">
        <f ca="1">IF(K$5="","",IF(K$5="H23","-",HLOOKUP(コード表!K$108,地域分析BD!$C$100:$O$125,8,FALSE)))</f>
        <v>-7.0644309535455529E-2</v>
      </c>
      <c r="L13" s="319"/>
    </row>
    <row r="14" spans="1:12" ht="16.5" customHeight="1">
      <c r="A14" s="314">
        <v>3</v>
      </c>
      <c r="B14" s="315" t="s">
        <v>74</v>
      </c>
      <c r="C14" s="330">
        <f ca="1">IF(C$5="","",HLOOKUP(コード表!$I$108,地域分析BD!$C$4:$O$31,26,FALSE))</f>
        <v>1227674</v>
      </c>
      <c r="D14" s="330">
        <f ca="1">IF(D$5="","",HLOOKUP(コード表!$J$108,地域分析BD!$C$4:$O$31,26,FALSE))</f>
        <v>1305521</v>
      </c>
      <c r="E14" s="330">
        <f ca="1">HLOOKUP(コード表!$K$108,地域分析BD!$C$4:$O$31,26,FALSE)</f>
        <v>1376707</v>
      </c>
      <c r="F14" s="331">
        <f ca="1">IF(F$5="","",IF(F$5="H23","-",HLOOKUP(コード表!J$108,地域分析BD!$C$36:$O$63,26,FALSE)))</f>
        <v>6.3410000000000002</v>
      </c>
      <c r="G14" s="331">
        <f ca="1">IF(G$5="","",IF(G$5="H23","-",HLOOKUP(コード表!K$108,地域分析BD!$C$36:$O$63,26,FALSE)))</f>
        <v>5.4530000000000003</v>
      </c>
      <c r="H14" s="331">
        <f ca="1">IF(H$5="","",HLOOKUP(コード表!$J$108,地域分析BD!$C$68:$O$93,26,FALSE))</f>
        <v>94.9</v>
      </c>
      <c r="I14" s="331">
        <f ca="1">HLOOKUP(コード表!$K$108,地域分析BD!$C$68:$O$93,26,FALSE)</f>
        <v>95.1</v>
      </c>
      <c r="J14" s="331">
        <f ca="1">IF(J$5="","",IF(J$5="H23","-",HLOOKUP(コード表!J$108,地域分析BD!$C$100:$O$125,26,FALSE)))</f>
        <v>5.8555925884973226</v>
      </c>
      <c r="K14" s="331">
        <f ca="1">IF(K$5="","",IF(K$5="H23","-",HLOOKUP(コード表!K$108,地域分析BD!$C$100:$O$125,26,FALSE)))</f>
        <v>5.1737508421717457</v>
      </c>
      <c r="L14" s="319"/>
    </row>
    <row r="15" spans="1:12" ht="16.5" customHeight="1">
      <c r="A15" s="324"/>
      <c r="B15" s="325" t="s">
        <v>56</v>
      </c>
      <c r="C15" s="326">
        <f ca="1">IF(C$5="","",HLOOKUP(コード表!$I$108,地域分析BD!$C$4:$O$31,9,FALSE))</f>
        <v>33674</v>
      </c>
      <c r="D15" s="326">
        <f ca="1">IF(D$5="","",HLOOKUP(コード表!$J$108,地域分析BD!$C$4:$O$31,9,FALSE))</f>
        <v>26856</v>
      </c>
      <c r="E15" s="326">
        <f ca="1">HLOOKUP(コード表!$K$108,地域分析BD!$C$4:$O$31,9,FALSE)</f>
        <v>29520</v>
      </c>
      <c r="F15" s="327">
        <f ca="1">IF(F$5="","",IF(F$5="H23","-",HLOOKUP(コード表!J$108,地域分析BD!$C$36:$O$63,9,FALSE)))</f>
        <v>-20.247</v>
      </c>
      <c r="G15" s="327">
        <f ca="1">IF(G$5="","",IF(G$5="H23","-",HLOOKUP(コード表!K$108,地域分析BD!$C$36:$O$63,9,FALSE)))</f>
        <v>9.92</v>
      </c>
      <c r="H15" s="327">
        <f ca="1">IF(H$5="","",HLOOKUP(コード表!$J$108,地域分析BD!$C$68:$O$93,9,FALSE))</f>
        <v>2</v>
      </c>
      <c r="I15" s="327">
        <f ca="1">HLOOKUP(コード表!$K$108,地域分析BD!$C$68:$O$93,9,FALSE)</f>
        <v>2</v>
      </c>
      <c r="J15" s="327">
        <f ca="1">IF(J$5="","",IF(J$5="H23","-",HLOOKUP(コード表!J$108,地域分析BD!$C$100:$O$125,9,FALSE)))</f>
        <v>-0.51284481442283891</v>
      </c>
      <c r="K15" s="327">
        <f ca="1">IF(K$5="","",IF(K$5="H23","-",HLOOKUP(コード表!K$108,地域分析BD!$C$100:$O$125,9,FALSE)))</f>
        <v>0.19361773724532255</v>
      </c>
      <c r="L15" s="319"/>
    </row>
    <row r="16" spans="1:12" ht="16.5" customHeight="1">
      <c r="A16" s="324"/>
      <c r="B16" s="325" t="s">
        <v>58</v>
      </c>
      <c r="C16" s="326">
        <f ca="1">IF(C$5="","",HLOOKUP(コード表!$I$108,地域分析BD!$C$4:$O$31,10,FALSE))</f>
        <v>118595</v>
      </c>
      <c r="D16" s="326">
        <f ca="1">IF(D$5="","",HLOOKUP(コード表!$J$108,地域分析BD!$C$4:$O$31,10,FALSE))</f>
        <v>122378</v>
      </c>
      <c r="E16" s="326">
        <f ca="1">HLOOKUP(コード表!$K$108,地域分析BD!$C$4:$O$31,10,FALSE)</f>
        <v>127138</v>
      </c>
      <c r="F16" s="327">
        <f ca="1">IF(F$5="","",IF(F$5="H23","-",HLOOKUP(コード表!J$108,地域分析BD!$C$36:$O$63,10,FALSE)))</f>
        <v>3.19</v>
      </c>
      <c r="G16" s="327">
        <f ca="1">IF(G$5="","",IF(G$5="H23","-",HLOOKUP(コード表!K$108,地域分析BD!$C$36:$O$63,10,FALSE)))</f>
        <v>3.89</v>
      </c>
      <c r="H16" s="327">
        <f ca="1">IF(H$5="","",HLOOKUP(コード表!$J$108,地域分析BD!$C$68:$O$93,10,FALSE))</f>
        <v>8.9</v>
      </c>
      <c r="I16" s="327">
        <f ca="1">HLOOKUP(コード表!$K$108,地域分析BD!$C$68:$O$93,10,FALSE)</f>
        <v>8.8000000000000007</v>
      </c>
      <c r="J16" s="327">
        <f ca="1">IF(J$5="","",IF(J$5="H23","-",HLOOKUP(コード表!J$108,地域分析BD!$C$100:$O$125,10,FALSE)))</f>
        <v>0.28455440495183337</v>
      </c>
      <c r="K16" s="327">
        <f ca="1">IF(K$5="","",IF(K$5="H23","-",HLOOKUP(コード表!K$108,地域分析BD!$C$100:$O$125,10,FALSE)))</f>
        <v>0.34595361459749824</v>
      </c>
      <c r="L16" s="319"/>
    </row>
    <row r="17" spans="1:12" ht="16.5" customHeight="1">
      <c r="A17" s="324"/>
      <c r="B17" s="325" t="s">
        <v>59</v>
      </c>
      <c r="C17" s="326">
        <f ca="1">IF(C$5="","",HLOOKUP(コード表!$I$108,地域分析BD!$C$4:$O$31,11,FALSE))</f>
        <v>77875</v>
      </c>
      <c r="D17" s="326">
        <f ca="1">IF(D$5="","",HLOOKUP(コード表!$J$108,地域分析BD!$C$4:$O$31,11,FALSE))</f>
        <v>106527</v>
      </c>
      <c r="E17" s="326">
        <f ca="1">HLOOKUP(コード表!$K$108,地域分析BD!$C$4:$O$31,11,FALSE)</f>
        <v>150029</v>
      </c>
      <c r="F17" s="327">
        <f ca="1">IF(F$5="","",IF(F$5="H23","-",HLOOKUP(コード表!J$108,地域分析BD!$C$36:$O$63,11,FALSE)))</f>
        <v>36.792000000000002</v>
      </c>
      <c r="G17" s="327">
        <f ca="1">IF(G$5="","",IF(G$5="H23","-",HLOOKUP(コード表!K$108,地域分析BD!$C$36:$O$63,11,FALSE)))</f>
        <v>40.837000000000003</v>
      </c>
      <c r="H17" s="327">
        <f ca="1">IF(H$5="","",HLOOKUP(コード表!$J$108,地域分析BD!$C$68:$O$93,11,FALSE))</f>
        <v>7.7</v>
      </c>
      <c r="I17" s="327">
        <f ca="1">HLOOKUP(コード表!$K$108,地域分析BD!$C$68:$O$93,11,FALSE)</f>
        <v>10.4</v>
      </c>
      <c r="J17" s="327">
        <f ca="1">IF(J$5="","",IF(J$5="H23","-",HLOOKUP(コード表!J$108,地域分析BD!$C$100:$O$125,11,FALSE)))</f>
        <v>2.1551818161987653</v>
      </c>
      <c r="K17" s="327">
        <f ca="1">IF(K$5="","",IF(K$5="H23","-",HLOOKUP(コード表!K$108,地域分析BD!$C$100:$O$125,11,FALSE)))</f>
        <v>3.1616962483656237</v>
      </c>
      <c r="L17" s="319"/>
    </row>
    <row r="18" spans="1:12" ht="16.5" customHeight="1">
      <c r="A18" s="324"/>
      <c r="B18" s="325" t="s">
        <v>60</v>
      </c>
      <c r="C18" s="326">
        <f ca="1">IF(C$5="","",HLOOKUP(コード表!$I$108,地域分析BD!$C$4:$O$31,12,FALSE))</f>
        <v>31453</v>
      </c>
      <c r="D18" s="326">
        <f ca="1">IF(D$5="","",HLOOKUP(コード表!$J$108,地域分析BD!$C$4:$O$31,12,FALSE))</f>
        <v>47041</v>
      </c>
      <c r="E18" s="326">
        <f ca="1">HLOOKUP(コード表!$K$108,地域分析BD!$C$4:$O$31,12,FALSE)</f>
        <v>63015</v>
      </c>
      <c r="F18" s="327">
        <f ca="1">IF(F$5="","",IF(F$5="H23","-",HLOOKUP(コード表!J$108,地域分析BD!$C$36:$O$63,12,FALSE)))</f>
        <v>49.56</v>
      </c>
      <c r="G18" s="327">
        <f ca="1">IF(G$5="","",IF(G$5="H23","-",HLOOKUP(コード表!K$108,地域分析BD!$C$36:$O$63,12,FALSE)))</f>
        <v>33.957999999999998</v>
      </c>
      <c r="H18" s="327">
        <f ca="1">IF(H$5="","",HLOOKUP(コード表!$J$108,地域分析BD!$C$68:$O$93,12,FALSE))</f>
        <v>3.4</v>
      </c>
      <c r="I18" s="327">
        <f ca="1">HLOOKUP(コード表!$K$108,地域分析BD!$C$68:$O$93,12,FALSE)</f>
        <v>4.4000000000000004</v>
      </c>
      <c r="J18" s="327">
        <f ca="1">IF(J$5="","",IF(J$5="H23","-",HLOOKUP(コード表!J$108,地域分析BD!$C$100:$O$125,12,FALSE)))</f>
        <v>1.1725175956619558</v>
      </c>
      <c r="K18" s="327">
        <f ca="1">IF(K$5="","",IF(K$5="H23","-",HLOOKUP(コード表!K$108,地域分析BD!$C$100:$O$125,12,FALSE)))</f>
        <v>1.1609796301639572</v>
      </c>
      <c r="L18" s="319"/>
    </row>
    <row r="19" spans="1:12" ht="16.5" customHeight="1">
      <c r="A19" s="324"/>
      <c r="B19" s="325" t="s">
        <v>61</v>
      </c>
      <c r="C19" s="326">
        <f ca="1">IF(C$5="","",HLOOKUP(コード表!$I$108,地域分析BD!$C$4:$O$31,13,FALSE))</f>
        <v>96178</v>
      </c>
      <c r="D19" s="326">
        <f ca="1">IF(D$5="","",HLOOKUP(コード表!$J$108,地域分析BD!$C$4:$O$31,13,FALSE))</f>
        <v>94050</v>
      </c>
      <c r="E19" s="326">
        <f ca="1">HLOOKUP(コード表!$K$108,地域分析BD!$C$4:$O$31,13,FALSE)</f>
        <v>95135</v>
      </c>
      <c r="F19" s="327">
        <f ca="1">IF(F$5="","",IF(F$5="H23","-",HLOOKUP(コード表!J$108,地域分析BD!$C$36:$O$63,13,FALSE)))</f>
        <v>-2.2130000000000001</v>
      </c>
      <c r="G19" s="327">
        <f ca="1">IF(G$5="","",IF(G$5="H23","-",HLOOKUP(コード表!K$108,地域分析BD!$C$36:$O$63,13,FALSE)))</f>
        <v>1.1539999999999999</v>
      </c>
      <c r="H19" s="327">
        <f ca="1">IF(H$5="","",HLOOKUP(コード表!$J$108,地域分析BD!$C$68:$O$93,13,FALSE))</f>
        <v>6.8</v>
      </c>
      <c r="I19" s="327">
        <f ca="1">HLOOKUP(コード表!$K$108,地域分析BD!$C$68:$O$93,13,FALSE)</f>
        <v>6.6</v>
      </c>
      <c r="J19" s="327">
        <f ca="1">IF(J$5="","",IF(J$5="H23","-",HLOOKUP(コード表!J$108,地域分析BD!$C$100:$O$125,13,FALSE)))</f>
        <v>-0.16006655398823721</v>
      </c>
      <c r="K19" s="327">
        <f ca="1">IF(K$5="","",IF(K$5="H23","-",HLOOKUP(コード表!K$108,地域分析BD!$C$100:$O$125,13,FALSE)))</f>
        <v>7.8857073915606216E-2</v>
      </c>
      <c r="L19" s="319"/>
    </row>
    <row r="20" spans="1:12" ht="16.5" customHeight="1">
      <c r="A20" s="324"/>
      <c r="B20" s="325" t="s">
        <v>62</v>
      </c>
      <c r="C20" s="326">
        <f ca="1">IF(C$5="","",HLOOKUP(コード表!$I$108,地域分析BD!$C$4:$O$31,14,FALSE))</f>
        <v>92379</v>
      </c>
      <c r="D20" s="326">
        <f ca="1">IF(D$5="","",HLOOKUP(コード表!$J$108,地域分析BD!$C$4:$O$31,14,FALSE))</f>
        <v>104059</v>
      </c>
      <c r="E20" s="326">
        <f ca="1">HLOOKUP(コード表!$K$108,地域分析BD!$C$4:$O$31,14,FALSE)</f>
        <v>109760</v>
      </c>
      <c r="F20" s="327">
        <f ca="1">IF(F$5="","",IF(F$5="H23","-",HLOOKUP(コード表!J$108,地域分析BD!$C$36:$O$63,14,FALSE)))</f>
        <v>12.644</v>
      </c>
      <c r="G20" s="327">
        <f ca="1">IF(G$5="","",IF(G$5="H23","-",HLOOKUP(コード表!K$108,地域分析BD!$C$36:$O$63,14,FALSE)))</f>
        <v>5.4790000000000001</v>
      </c>
      <c r="H20" s="327">
        <f ca="1">IF(H$5="","",HLOOKUP(コード表!$J$108,地域分析BD!$C$68:$O$93,14,FALSE))</f>
        <v>7.6</v>
      </c>
      <c r="I20" s="327">
        <f ca="1">HLOOKUP(コード表!$K$108,地域分析BD!$C$68:$O$93,14,FALSE)</f>
        <v>7.6</v>
      </c>
      <c r="J20" s="327">
        <f ca="1">IF(J$5="","",IF(J$5="H23","-",HLOOKUP(コード表!J$108,地域分析BD!$C$100:$O$125,14,FALSE)))</f>
        <v>0.87856078504821922</v>
      </c>
      <c r="K20" s="327">
        <f ca="1">IF(K$5="","",IF(K$5="H23","-",HLOOKUP(コード表!K$108,地域分析BD!$C$100:$O$125,14,FALSE)))</f>
        <v>0.41434486487822214</v>
      </c>
      <c r="L20" s="319"/>
    </row>
    <row r="21" spans="1:12" ht="16.5" customHeight="1">
      <c r="A21" s="324"/>
      <c r="B21" s="325" t="s">
        <v>63</v>
      </c>
      <c r="C21" s="326">
        <f ca="1">IF(C$5="","",HLOOKUP(コード表!$I$108,地域分析BD!$C$4:$O$31,15,FALSE))</f>
        <v>151492</v>
      </c>
      <c r="D21" s="326">
        <f ca="1">IF(D$5="","",HLOOKUP(コード表!$J$108,地域分析BD!$C$4:$O$31,15,FALSE))</f>
        <v>157814</v>
      </c>
      <c r="E21" s="326">
        <f ca="1">HLOOKUP(コード表!$K$108,地域分析BD!$C$4:$O$31,15,FALSE)</f>
        <v>154428</v>
      </c>
      <c r="F21" s="327">
        <f ca="1">IF(F$5="","",IF(F$5="H23","-",HLOOKUP(コード表!J$108,地域分析BD!$C$36:$O$63,15,FALSE)))</f>
        <v>4.173</v>
      </c>
      <c r="G21" s="327">
        <f ca="1">IF(G$5="","",IF(G$5="H23","-",HLOOKUP(コード表!K$108,地域分析BD!$C$36:$O$63,15,FALSE)))</f>
        <v>-2.1459999999999999</v>
      </c>
      <c r="H21" s="327">
        <f ca="1">IF(H$5="","",HLOOKUP(コード表!$J$108,地域分析BD!$C$68:$O$93,15,FALSE))</f>
        <v>11.5</v>
      </c>
      <c r="I21" s="327">
        <f ca="1">HLOOKUP(コード表!$K$108,地域分析BD!$C$68:$O$93,15,FALSE)</f>
        <v>10.7</v>
      </c>
      <c r="J21" s="327">
        <f ca="1">IF(J$5="","",IF(J$5="H23","-",HLOOKUP(コード表!J$108,地域分析BD!$C$100:$O$125,15,FALSE)))</f>
        <v>0.47553606875640769</v>
      </c>
      <c r="K21" s="327">
        <f ca="1">IF(K$5="","",IF(K$5="H23","-",HLOOKUP(コード表!K$108,地域分析BD!$C$100:$O$125,15,FALSE)))</f>
        <v>-0.24609221408132964</v>
      </c>
      <c r="L21" s="319"/>
    </row>
    <row r="22" spans="1:12" ht="16.5" customHeight="1">
      <c r="A22" s="324"/>
      <c r="B22" s="325" t="s">
        <v>64</v>
      </c>
      <c r="C22" s="326">
        <f ca="1">IF(C$5="","",HLOOKUP(コード表!$I$108,地域分析BD!$C$4:$O$31,16,FALSE))</f>
        <v>195019</v>
      </c>
      <c r="D22" s="326">
        <f ca="1">IF(D$5="","",HLOOKUP(コード表!$J$108,地域分析BD!$C$4:$O$31,16,FALSE))</f>
        <v>206413</v>
      </c>
      <c r="E22" s="326">
        <f ca="1">HLOOKUP(コード表!$K$108,地域分析BD!$C$4:$O$31,16,FALSE)</f>
        <v>200269</v>
      </c>
      <c r="F22" s="327">
        <f ca="1">IF(F$5="","",IF(F$5="H23","-",HLOOKUP(コード表!J$108,地域分析BD!$C$36:$O$63,16,FALSE)))</f>
        <v>5.843</v>
      </c>
      <c r="G22" s="327">
        <f ca="1">IF(G$5="","",IF(G$5="H23","-",HLOOKUP(コード表!K$108,地域分析BD!$C$36:$O$63,16,FALSE)))</f>
        <v>-2.9769999999999999</v>
      </c>
      <c r="H22" s="327">
        <f ca="1">IF(H$5="","",HLOOKUP(コード表!$J$108,地域分析BD!$C$68:$O$93,16,FALSE))</f>
        <v>15</v>
      </c>
      <c r="I22" s="327">
        <f ca="1">HLOOKUP(コード表!$K$108,地域分析BD!$C$68:$O$93,16,FALSE)</f>
        <v>13.8</v>
      </c>
      <c r="J22" s="327">
        <f ca="1">IF(J$5="","",IF(J$5="H23","-",HLOOKUP(コード表!J$108,地域分析BD!$C$100:$O$125,16,FALSE)))</f>
        <v>0.85704808089378504</v>
      </c>
      <c r="K22" s="327">
        <f ca="1">IF(K$5="","",IF(K$5="H23","-",HLOOKUP(コード表!K$108,地域分析BD!$C$100:$O$125,16,FALSE)))</f>
        <v>-0.44654180842164476</v>
      </c>
      <c r="L22" s="319"/>
    </row>
    <row r="23" spans="1:12" ht="16.5" customHeight="1">
      <c r="A23" s="324"/>
      <c r="B23" s="325" t="s">
        <v>65</v>
      </c>
      <c r="C23" s="326">
        <f ca="1">IF(C$5="","",HLOOKUP(コード表!$I$108,地域分析BD!$C$4:$O$31,17,FALSE))</f>
        <v>201363</v>
      </c>
      <c r="D23" s="326">
        <f ca="1">IF(D$5="","",HLOOKUP(コード表!$J$108,地域分析BD!$C$4:$O$31,17,FALSE))</f>
        <v>204635</v>
      </c>
      <c r="E23" s="326">
        <f ca="1">HLOOKUP(コード表!$K$108,地域分析BD!$C$4:$O$31,17,FALSE)</f>
        <v>213737</v>
      </c>
      <c r="F23" s="327">
        <f ca="1">IF(F$5="","",IF(F$5="H23","-",HLOOKUP(コード表!J$108,地域分析BD!$C$36:$O$63,17,FALSE)))</f>
        <v>1.625</v>
      </c>
      <c r="G23" s="327">
        <f ca="1">IF(G$5="","",IF(G$5="H23","-",HLOOKUP(コード表!K$108,地域分析BD!$C$36:$O$63,17,FALSE)))</f>
        <v>4.4480000000000004</v>
      </c>
      <c r="H23" s="327">
        <f ca="1">IF(H$5="","",HLOOKUP(コード表!$J$108,地域分析BD!$C$68:$O$93,17,FALSE))</f>
        <v>14.9</v>
      </c>
      <c r="I23" s="327">
        <f ca="1">HLOOKUP(コード表!$K$108,地域分析BD!$C$68:$O$93,17,FALSE)</f>
        <v>14.8</v>
      </c>
      <c r="J23" s="327">
        <f ca="1">IF(J$5="","",IF(J$5="H23","-",HLOOKUP(コード表!J$108,地域分析BD!$C$100:$O$125,17,FALSE)))</f>
        <v>0.24611737060597377</v>
      </c>
      <c r="K23" s="327">
        <f ca="1">IF(K$5="","",IF(K$5="H23","-",HLOOKUP(コード表!K$108,地域分析BD!$C$100:$O$125,17,FALSE)))</f>
        <v>0.6615272689215187</v>
      </c>
      <c r="L23" s="319"/>
    </row>
    <row r="24" spans="1:12" ht="16.5" customHeight="1">
      <c r="A24" s="324"/>
      <c r="B24" s="325" t="s">
        <v>66</v>
      </c>
      <c r="C24" s="326">
        <f ca="1">IF(C$5="","",HLOOKUP(コード表!$I$108,地域分析BD!$C$4:$O$31,18,FALSE))</f>
        <v>43424</v>
      </c>
      <c r="D24" s="326">
        <f ca="1">IF(D$5="","",HLOOKUP(コード表!$J$108,地域分析BD!$C$4:$O$31,18,FALSE))</f>
        <v>45359</v>
      </c>
      <c r="E24" s="326">
        <f ca="1">HLOOKUP(コード表!$K$108,地域分析BD!$C$4:$O$31,18,FALSE)</f>
        <v>44691</v>
      </c>
      <c r="F24" s="327">
        <f ca="1">IF(F$5="","",IF(F$5="H23","-",HLOOKUP(コード表!J$108,地域分析BD!$C$36:$O$63,18,FALSE)))</f>
        <v>4.4560000000000004</v>
      </c>
      <c r="G24" s="327">
        <f ca="1">IF(G$5="","",IF(G$5="H23","-",HLOOKUP(コード表!K$108,地域分析BD!$C$36:$O$63,18,FALSE)))</f>
        <v>-1.4730000000000001</v>
      </c>
      <c r="H24" s="327">
        <f ca="1">IF(H$5="","",HLOOKUP(コード表!$J$108,地域分析BD!$C$68:$O$93,18,FALSE))</f>
        <v>3.3</v>
      </c>
      <c r="I24" s="327">
        <f ca="1">HLOOKUP(コード表!$K$108,地域分析BD!$C$68:$O$93,18,FALSE)</f>
        <v>3.1</v>
      </c>
      <c r="J24" s="327">
        <f ca="1">IF(J$5="","",IF(J$5="H23","-",HLOOKUP(コード表!J$108,地域分析BD!$C$100:$O$125,18,FALSE)))</f>
        <v>0.14554923964625893</v>
      </c>
      <c r="K24" s="327">
        <f ca="1">IF(K$5="","",IF(K$5="H23","-",HLOOKUP(コード表!K$108,地域分析BD!$C$100:$O$125,18,FALSE)))</f>
        <v>-4.854979297292622E-2</v>
      </c>
      <c r="L24" s="319"/>
    </row>
    <row r="25" spans="1:12" ht="16.5" customHeight="1">
      <c r="A25" s="324"/>
      <c r="B25" s="325" t="s">
        <v>67</v>
      </c>
      <c r="C25" s="326">
        <f ca="1">IF(C$5="","",HLOOKUP(コード表!$I$108,地域分析BD!$C$4:$O$31,19,FALSE))</f>
        <v>128104</v>
      </c>
      <c r="D25" s="326">
        <f ca="1">IF(D$5="","",HLOOKUP(コード表!$J$108,地域分析BD!$C$4:$O$31,19,FALSE))</f>
        <v>129223</v>
      </c>
      <c r="E25" s="326">
        <f ca="1">HLOOKUP(コード表!$K$108,地域分析BD!$C$4:$O$31,19,FALSE)</f>
        <v>130190</v>
      </c>
      <c r="F25" s="327">
        <f ca="1">IF(F$5="","",IF(F$5="H23","-",HLOOKUP(コード表!J$108,地域分析BD!$C$36:$O$63,19,FALSE)))</f>
        <v>0.874</v>
      </c>
      <c r="G25" s="327">
        <f ca="1">IF(G$5="","",IF(G$5="H23","-",HLOOKUP(コード表!K$108,地域分析BD!$C$36:$O$63,19,FALSE)))</f>
        <v>0.748</v>
      </c>
      <c r="H25" s="327">
        <f ca="1">IF(H$5="","",HLOOKUP(コード表!$J$108,地域分析BD!$C$68:$O$93,19,FALSE))</f>
        <v>9.4</v>
      </c>
      <c r="I25" s="327">
        <f ca="1">HLOOKUP(コード表!$K$108,地域分析BD!$C$68:$O$93,19,FALSE)</f>
        <v>9</v>
      </c>
      <c r="J25" s="327">
        <f ca="1">IF(J$5="","",IF(J$5="H23","-",HLOOKUP(コード表!J$108,地域分析BD!$C$100:$O$125,19,FALSE)))</f>
        <v>8.4170335485355935E-2</v>
      </c>
      <c r="K25" s="327">
        <f ca="1">IF(K$5="","",IF(K$5="H23","-",HLOOKUP(コード表!K$108,地域分析BD!$C$100:$O$125,19,FALSE)))</f>
        <v>7.0280912881466553E-2</v>
      </c>
      <c r="L25" s="319"/>
    </row>
    <row r="26" spans="1:12" ht="16.5" customHeight="1">
      <c r="A26" s="332"/>
      <c r="B26" s="333" t="s">
        <v>68</v>
      </c>
      <c r="C26" s="328">
        <f ca="1">IF(C$5="","",HLOOKUP(コード表!$I$108,地域分析BD!$C$4:$O$31,20,FALSE))</f>
        <v>58118</v>
      </c>
      <c r="D26" s="328">
        <f ca="1">IF(D$5="","",HLOOKUP(コード表!$J$108,地域分析BD!$C$4:$O$31,20,FALSE))</f>
        <v>61166</v>
      </c>
      <c r="E26" s="328">
        <f ca="1">HLOOKUP(コード表!$K$108,地域分析BD!$C$4:$O$31,20,FALSE)</f>
        <v>58795</v>
      </c>
      <c r="F26" s="329">
        <f ca="1">IF(F$5="","",IF(F$5="H23","-",HLOOKUP(コード表!J$108,地域分析BD!$C$36:$O$63,20,FALSE)))</f>
        <v>5.2450000000000001</v>
      </c>
      <c r="G26" s="329">
        <f ca="1">IF(G$5="","",IF(G$5="H23","-",HLOOKUP(コード表!K$108,地域分析BD!$C$36:$O$63,20,FALSE)))</f>
        <v>-3.8759999999999999</v>
      </c>
      <c r="H26" s="329">
        <f ca="1">IF(H$5="","",HLOOKUP(コード表!$J$108,地域分析BD!$C$68:$O$93,20,FALSE))</f>
        <v>4.4000000000000004</v>
      </c>
      <c r="I26" s="329">
        <f ca="1">HLOOKUP(コード表!$K$108,地域分析BD!$C$68:$O$93,20,FALSE)</f>
        <v>4.0999999999999996</v>
      </c>
      <c r="J26" s="329">
        <f ca="1">IF(J$5="","",IF(J$5="H23","-",HLOOKUP(コード表!J$108,地域分析BD!$C$100:$O$125,20,FALSE)))</f>
        <v>0.22926825965984354</v>
      </c>
      <c r="K26" s="329">
        <f ca="1">IF(K$5="","",IF(K$5="H23","-",HLOOKUP(コード表!K$108,地域分析BD!$C$100:$O$125,20,FALSE)))</f>
        <v>-0.17232269332156896</v>
      </c>
      <c r="L26" s="319"/>
    </row>
    <row r="27" spans="1:12" ht="16.5" customHeight="1">
      <c r="A27" s="334">
        <v>4</v>
      </c>
      <c r="B27" s="335" t="s">
        <v>99</v>
      </c>
      <c r="C27" s="330">
        <f ca="1">IF(C$5="","",HLOOKUP(コード表!$I$108,地域分析BD!$C$4:$O$31,21,FALSE))</f>
        <v>1340219</v>
      </c>
      <c r="D27" s="330">
        <f ca="1">IF(D$5="","",HLOOKUP(コード表!$J$108,地域分析BD!$C$4:$O$31,21,FALSE))</f>
        <v>1385466</v>
      </c>
      <c r="E27" s="330">
        <f ca="1">HLOOKUP(コード表!$K$108,地域分析BD!$C$4:$O$31,21,FALSE)</f>
        <v>1457769</v>
      </c>
      <c r="F27" s="331">
        <f ca="1">IF(F$5="","",IF(F$5="H23","-",HLOOKUP(コード表!J$108,地域分析BD!$C$36:$O$63,21,FALSE)))</f>
        <v>3.3759999999999999</v>
      </c>
      <c r="G27" s="331">
        <f ca="1">IF(G$5="","",IF(G$5="H23","-",HLOOKUP(コード表!K$108,地域分析BD!$C$36:$O$63,21,FALSE)))</f>
        <v>5.2190000000000003</v>
      </c>
      <c r="H27" s="331">
        <f ca="1">IF(H$5="","",HLOOKUP(コード表!$J$108,地域分析BD!$C$68:$O$93,21,FALSE))</f>
        <v>100.7</v>
      </c>
      <c r="I27" s="331">
        <f ca="1">HLOOKUP(コード表!$K$108,地域分析BD!$C$68:$O$93,21,FALSE)</f>
        <v>100.7</v>
      </c>
      <c r="J27" s="331">
        <f ca="1">IF(J$5="","",IF(J$5="H23","-",HLOOKUP(コード表!J$108,地域分析BD!$C$100:$O$125,21,FALSE)))</f>
        <v>3.4034451918730122</v>
      </c>
      <c r="K27" s="331">
        <f ca="1">IF(K$5="","",IF(K$5="H23","-",HLOOKUP(コード表!K$108,地域分析BD!$C$100:$O$125,21,FALSE)))</f>
        <v>5.2549336546728806</v>
      </c>
      <c r="L27" s="319"/>
    </row>
    <row r="28" spans="1:12" ht="16.5" customHeight="1" thickBot="1">
      <c r="A28" s="336">
        <v>5</v>
      </c>
      <c r="B28" s="337" t="s">
        <v>100</v>
      </c>
      <c r="C28" s="338">
        <f ca="1">IF(C$5="","",HLOOKUP(コード表!$I$108,地域分析BD!$C$4:$O$31,22,FALSE))</f>
        <v>-10772</v>
      </c>
      <c r="D28" s="338">
        <f ca="1">IF(D$5="","",HLOOKUP(コード表!$J$108,地域分析BD!$C$4:$O$31,22,FALSE))</f>
        <v>-9559</v>
      </c>
      <c r="E28" s="338">
        <f ca="1">HLOOKUP(コード表!$K$108,地域分析BD!$C$4:$O$31,22,FALSE)</f>
        <v>-10149</v>
      </c>
      <c r="F28" s="339">
        <f ca="1">IF(F$5="","",IF(F$5="H23","-",HLOOKUP(コード表!J$108,地域分析BD!$C$36:$O$63,22,FALSE)))</f>
        <v>11.260999999999999</v>
      </c>
      <c r="G28" s="339">
        <f ca="1">IF(G$5="","",IF(G$5="H23","-",HLOOKUP(コード表!K$108,地域分析BD!$C$36:$O$63,22,FALSE)))</f>
        <v>-6.1719999999999997</v>
      </c>
      <c r="H28" s="339">
        <f ca="1">IF(H$5="","",HLOOKUP(コード表!$J$108,地域分析BD!$C$68:$O$93,22,FALSE))</f>
        <v>-0.7</v>
      </c>
      <c r="I28" s="339">
        <f ca="1">HLOOKUP(コード表!$K$108,地域分析BD!$C$68:$O$93,22,FALSE)</f>
        <v>-0.7</v>
      </c>
      <c r="J28" s="339">
        <f ca="1">IF(J$5="","",IF(J$5="H23","-",HLOOKUP(コード表!J$108,地域分析BD!$C$100:$O$125,22,FALSE)))</f>
        <v>9.1240944543107022E-2</v>
      </c>
      <c r="K28" s="339">
        <f ca="1">IF(K$5="","",IF(K$5="H23","-",HLOOKUP(コード表!K$108,地域分析BD!$C$100:$O$125,22,FALSE)))</f>
        <v>-4.2880805170698311E-2</v>
      </c>
      <c r="L28" s="319"/>
    </row>
    <row r="29" spans="1:12" ht="16.5" customHeight="1" thickTop="1">
      <c r="A29" s="340">
        <v>6</v>
      </c>
      <c r="B29" s="341" t="s">
        <v>101</v>
      </c>
      <c r="C29" s="342">
        <f ca="1">IF(C$5="","",HLOOKUP(コード表!$I$108,地域分析BD!$C$4:$O$31,23,FALSE))</f>
        <v>1329447</v>
      </c>
      <c r="D29" s="342">
        <f ca="1">IF(D$5="","",HLOOKUP(コード表!$J$108,地域分析BD!$C$4:$O$31,23,FALSE))</f>
        <v>1375907</v>
      </c>
      <c r="E29" s="342">
        <f ca="1">HLOOKUP(コード表!$K$108,地域分析BD!$C$4:$O$31,23,FALSE)</f>
        <v>1447620</v>
      </c>
      <c r="F29" s="343">
        <f ca="1">IF(F$5="","",IF(F$5="H23","-",HLOOKUP(コード表!J$108,地域分析BD!$C$36:$O$63,23,FALSE)))</f>
        <v>3.4950000000000001</v>
      </c>
      <c r="G29" s="343">
        <f ca="1">IF(G$5="","",IF(G$5="H23","-",HLOOKUP(コード表!K$108,地域分析BD!$C$36:$O$63,23,FALSE)))</f>
        <v>5.2119999999999997</v>
      </c>
      <c r="H29" s="343">
        <f ca="1">IF(H$5="","",HLOOKUP(コード表!$J$108,地域分析BD!$C$68:$O$93,23,FALSE))</f>
        <v>100</v>
      </c>
      <c r="I29" s="343">
        <f ca="1">HLOOKUP(コード表!$K$108,地域分析BD!$C$68:$O$93,23,FALSE)</f>
        <v>100</v>
      </c>
      <c r="J29" s="343">
        <f ca="1">IF(J$5="","",IF(J$5="H23","-",HLOOKUP(コード表!J$108,地域分析BD!$C$100:$O$125,23,FALSE)))</f>
        <v>3.494686136416119</v>
      </c>
      <c r="K29" s="343">
        <f ca="1">IF(K$5="","",IF(K$5="H23","-",HLOOKUP(コード表!K$108,地域分析BD!$C$100:$O$125,23,FALSE)))</f>
        <v>5.2120528495021832</v>
      </c>
      <c r="L29" s="319"/>
    </row>
    <row r="30" spans="1:12" ht="16.5" customHeight="1">
      <c r="A30" s="344"/>
      <c r="B30" s="345" t="s">
        <v>287</v>
      </c>
      <c r="C30" s="322">
        <f ca="1">IF(C$5="","",HLOOKUP(コード表!I$108,地域分析BD!$C$4:$O$31,28,FALSE))</f>
        <v>1291097.6893290135</v>
      </c>
      <c r="D30" s="322">
        <f ca="1">IF(D$5="","",HLOOKUP(コード表!J$108,地域分析BD!$C$4:$O$31,28,FALSE))</f>
        <v>1315522.1725521765</v>
      </c>
      <c r="E30" s="322">
        <f ca="1">IF(E$5="","",HLOOKUP(コード表!K$108,地域分析BD!$C$4:$O$31,28,FALSE))</f>
        <v>1349130.9025485108</v>
      </c>
      <c r="F30" s="323">
        <f ca="1">IF(F$5="","",IF(F$5="H23","-",HLOOKUP(コード表!J$108,地域分析BD!$C$36:$O$63,27,FALSE)))</f>
        <v>3.7160000000000002</v>
      </c>
      <c r="G30" s="323">
        <f ca="1">IF(G$5="","",IF(G$5="H23","-",HLOOKUP(コード表!K$108,地域分析BD!$C$36:$O$63,27,FALSE)))</f>
        <v>3.0259999999999998</v>
      </c>
      <c r="H30" s="346"/>
      <c r="I30" s="346"/>
      <c r="J30" s="346"/>
      <c r="K30" s="346"/>
      <c r="L30" s="319"/>
    </row>
    <row r="31" spans="1:12" ht="16.5" customHeight="1">
      <c r="A31" s="344"/>
      <c r="B31" s="345" t="s">
        <v>288</v>
      </c>
      <c r="C31" s="322">
        <f ca="1">IF(C$5="","",HLOOKUP(コード表!I$108,地域分析BD!$C$4:$O$31,27,FALSE))</f>
        <v>6755</v>
      </c>
      <c r="D31" s="322">
        <f ca="1">IF(D$5="","",HLOOKUP(コード表!J$108,地域分析BD!$C$4:$O$31,27,FALSE))</f>
        <v>7006</v>
      </c>
      <c r="E31" s="322">
        <f ca="1">IF(E$5="","",HLOOKUP(コード表!K$108,地域分析BD!$C$4:$O$31,27,FALSE))</f>
        <v>7218</v>
      </c>
      <c r="F31" s="323">
        <f ca="1">IF(F$5="","",IF(F$5="H23","-",HLOOKUP(コード表!J$108,地域分析BD!$C$36:$O$63,28,FALSE)))</f>
        <v>1.8919999999999999</v>
      </c>
      <c r="G31" s="323">
        <f ca="1">IF(G$5="","",IF(G$5="H23","-",HLOOKUP(コード表!K$108,地域分析BD!$C$36:$O$63,28,FALSE)))</f>
        <v>2.5550000000000002</v>
      </c>
      <c r="H31" s="346"/>
      <c r="I31" s="346"/>
      <c r="J31" s="346"/>
      <c r="K31" s="346"/>
      <c r="L31" s="319"/>
    </row>
    <row r="32" spans="1:12" ht="16.5" customHeight="1">
      <c r="A32" s="320"/>
      <c r="B32" s="321" t="s">
        <v>289</v>
      </c>
      <c r="C32" s="326">
        <f ca="1">IF(C$5="","",HLOOKUP(コード表!I$108,地域分析BD!$C$132:$O$159,27,FALSE))</f>
        <v>5911</v>
      </c>
      <c r="D32" s="326">
        <f ca="1">IF(D$5="","",HLOOKUP(コード表!J$108,地域分析BD!$C$132:$O$159,27,FALSE))</f>
        <v>5985</v>
      </c>
      <c r="E32" s="326">
        <f ca="1">IF(E$5="","",HLOOKUP(コード表!K$108,地域分析BD!$C$132:$O$159,27,FALSE))</f>
        <v>6138</v>
      </c>
      <c r="F32" s="327">
        <f ca="1">IF(F$5="","",IF(F$5="H23","-",HLOOKUP(コード表!J$108,地域分析BD!$C$176:$O$203,27,FALSE)))</f>
        <v>1.252</v>
      </c>
      <c r="G32" s="327">
        <f ca="1">IF(G$5="","",IF(G$5="H23","-",HLOOKUP(コード表!K$108,地域分析BD!$C$176:$O$203,27,FALSE)))</f>
        <v>2.556</v>
      </c>
      <c r="H32" s="346"/>
      <c r="I32" s="346"/>
      <c r="J32" s="346"/>
      <c r="K32" s="346"/>
      <c r="L32" s="319"/>
    </row>
    <row r="33" spans="1:12" ht="16.5" customHeight="1">
      <c r="A33" s="347"/>
      <c r="B33" s="348" t="s">
        <v>290</v>
      </c>
      <c r="C33" s="329">
        <f ca="1">IF(C$5="","",C$31/C$32*100)</f>
        <v>114.27846388090002</v>
      </c>
      <c r="D33" s="329">
        <f t="shared" ref="D33:E33" ca="1" si="0">IF(D$5="","",D$31/D$32*100)</f>
        <v>117.0593149540518</v>
      </c>
      <c r="E33" s="329">
        <f t="shared" ca="1" si="0"/>
        <v>117.59530791788858</v>
      </c>
      <c r="F33" s="329" t="s">
        <v>291</v>
      </c>
      <c r="G33" s="329" t="s">
        <v>291</v>
      </c>
      <c r="H33" s="346"/>
      <c r="I33" s="346"/>
      <c r="J33" s="346"/>
      <c r="K33" s="346"/>
      <c r="L33" s="319"/>
    </row>
    <row r="34" spans="1:12" ht="16.5" customHeight="1">
      <c r="A34" s="349"/>
      <c r="B34" s="350"/>
      <c r="C34" s="346"/>
      <c r="D34" s="346"/>
      <c r="E34" s="346"/>
      <c r="F34" s="346"/>
      <c r="G34" s="346"/>
      <c r="H34" s="346"/>
      <c r="I34" s="346"/>
      <c r="J34" s="346"/>
      <c r="K34" s="346"/>
      <c r="L34" s="319"/>
    </row>
    <row r="35" spans="1:12" ht="16.5" customHeight="1">
      <c r="A35" s="351"/>
      <c r="B35" s="352"/>
      <c r="C35" s="353"/>
      <c r="D35" s="353"/>
      <c r="E35" s="353"/>
      <c r="F35" s="353"/>
      <c r="G35" s="353"/>
      <c r="H35" s="353"/>
      <c r="I35" s="353"/>
      <c r="J35" s="353"/>
      <c r="K35" s="353"/>
    </row>
    <row r="36" spans="1:12" ht="16.5" customHeight="1">
      <c r="A36" s="351"/>
      <c r="B36" s="352"/>
      <c r="C36" s="353"/>
      <c r="D36" s="353"/>
      <c r="E36" s="353"/>
      <c r="F36" s="353"/>
      <c r="G36" s="353"/>
      <c r="H36" s="353"/>
      <c r="I36" s="353"/>
      <c r="J36" s="353"/>
      <c r="K36" s="353"/>
    </row>
    <row r="37" spans="1:12" ht="16.5" customHeight="1">
      <c r="A37" s="351"/>
      <c r="B37" s="352"/>
      <c r="C37" s="353"/>
      <c r="D37" s="353"/>
      <c r="E37" s="353"/>
      <c r="F37" s="353"/>
      <c r="G37" s="353"/>
      <c r="H37" s="353"/>
      <c r="I37" s="353"/>
      <c r="J37" s="353"/>
      <c r="K37" s="353"/>
    </row>
    <row r="38" spans="1:12" ht="16.5" customHeight="1">
      <c r="A38" s="351"/>
      <c r="B38" s="352"/>
      <c r="C38" s="353"/>
      <c r="D38" s="353"/>
      <c r="E38" s="353"/>
      <c r="F38" s="353"/>
      <c r="G38" s="353"/>
      <c r="H38" s="353"/>
      <c r="I38" s="353"/>
      <c r="J38" s="353"/>
      <c r="K38" s="353"/>
    </row>
    <row r="39" spans="1:12" ht="16.5" customHeight="1">
      <c r="A39" s="351"/>
      <c r="B39" s="352"/>
      <c r="C39" s="353"/>
      <c r="D39" s="353"/>
      <c r="E39" s="353"/>
      <c r="F39" s="353"/>
      <c r="G39" s="353"/>
      <c r="H39" s="353"/>
      <c r="I39" s="353"/>
      <c r="J39" s="353"/>
      <c r="K39" s="353"/>
    </row>
    <row r="40" spans="1:12" ht="16.5" customHeight="1">
      <c r="A40" s="351"/>
      <c r="B40" s="352"/>
      <c r="C40" s="353"/>
      <c r="D40" s="353"/>
      <c r="E40" s="353"/>
      <c r="F40" s="353"/>
      <c r="G40" s="353"/>
      <c r="H40" s="353"/>
      <c r="I40" s="353"/>
      <c r="J40" s="353"/>
      <c r="K40" s="353"/>
    </row>
    <row r="41" spans="1:12" ht="16.5" customHeight="1">
      <c r="A41" s="351"/>
      <c r="B41" s="352"/>
      <c r="C41" s="353"/>
      <c r="D41" s="353"/>
      <c r="E41" s="353"/>
      <c r="F41" s="353"/>
      <c r="G41" s="353"/>
      <c r="H41" s="353"/>
      <c r="I41" s="353"/>
      <c r="J41" s="353"/>
      <c r="K41" s="353"/>
    </row>
    <row r="42" spans="1:12" ht="16.5" customHeight="1">
      <c r="A42" s="351"/>
      <c r="B42" s="352"/>
      <c r="C42" s="353"/>
      <c r="D42" s="353"/>
      <c r="E42" s="353"/>
      <c r="F42" s="353"/>
      <c r="G42" s="353"/>
      <c r="H42" s="353"/>
      <c r="I42" s="353"/>
      <c r="J42" s="353"/>
      <c r="K42" s="353"/>
    </row>
    <row r="43" spans="1:12" ht="16.5" customHeight="1">
      <c r="A43" s="351"/>
      <c r="B43" s="352"/>
      <c r="C43" s="353"/>
      <c r="D43" s="353"/>
      <c r="E43" s="353"/>
      <c r="F43" s="353"/>
      <c r="G43" s="353"/>
      <c r="H43" s="353"/>
      <c r="I43" s="353"/>
      <c r="J43" s="353"/>
      <c r="K43" s="353"/>
    </row>
    <row r="44" spans="1:12" ht="16.5" customHeight="1">
      <c r="A44" s="351"/>
      <c r="B44" s="352"/>
      <c r="C44" s="353"/>
      <c r="D44" s="353"/>
      <c r="E44" s="353"/>
      <c r="F44" s="353"/>
      <c r="G44" s="353"/>
      <c r="H44" s="353"/>
      <c r="I44" s="353"/>
      <c r="J44" s="353"/>
      <c r="K44" s="353"/>
    </row>
    <row r="45" spans="1:12" ht="16.5" customHeight="1">
      <c r="A45" s="351"/>
      <c r="B45" s="352"/>
      <c r="C45" s="353"/>
      <c r="D45" s="353"/>
      <c r="E45" s="353"/>
      <c r="F45" s="353"/>
      <c r="G45" s="353"/>
      <c r="H45" s="353"/>
      <c r="I45" s="353"/>
      <c r="J45" s="353"/>
      <c r="K45" s="353"/>
    </row>
    <row r="46" spans="1:12" ht="16.5" customHeight="1">
      <c r="A46" s="351"/>
      <c r="B46" s="352"/>
      <c r="C46" s="353"/>
      <c r="D46" s="353"/>
      <c r="E46" s="353"/>
      <c r="F46" s="353"/>
      <c r="G46" s="353"/>
      <c r="H46" s="353"/>
      <c r="I46" s="353"/>
      <c r="J46" s="353"/>
      <c r="K46" s="353"/>
    </row>
    <row r="47" spans="1:12" ht="16.5" customHeight="1">
      <c r="A47" s="351"/>
      <c r="B47" s="352"/>
      <c r="C47" s="353"/>
      <c r="D47" s="353"/>
      <c r="E47" s="353"/>
      <c r="F47" s="353"/>
      <c r="G47" s="353"/>
      <c r="H47" s="353"/>
      <c r="I47" s="353"/>
      <c r="J47" s="353"/>
      <c r="K47" s="353"/>
    </row>
    <row r="48" spans="1:12" ht="16.5" customHeight="1">
      <c r="A48" s="351"/>
      <c r="B48" s="352"/>
      <c r="C48" s="353"/>
      <c r="D48" s="353"/>
      <c r="E48" s="353"/>
      <c r="F48" s="353"/>
      <c r="G48" s="353"/>
      <c r="H48" s="353"/>
      <c r="I48" s="353"/>
      <c r="J48" s="353"/>
      <c r="K48" s="353"/>
    </row>
    <row r="49" spans="1:11" ht="16.5" customHeight="1">
      <c r="A49" s="351"/>
      <c r="B49" s="352"/>
      <c r="C49" s="354"/>
      <c r="D49" s="354"/>
      <c r="E49" s="354"/>
      <c r="F49" s="354"/>
      <c r="G49" s="354"/>
      <c r="H49" s="354"/>
      <c r="I49" s="354"/>
      <c r="J49" s="354"/>
      <c r="K49" s="354"/>
    </row>
    <row r="50" spans="1:11" ht="16.5" customHeight="1">
      <c r="A50" s="351"/>
      <c r="B50" s="352"/>
      <c r="C50" s="354"/>
      <c r="D50" s="354"/>
      <c r="E50" s="354"/>
      <c r="F50" s="354"/>
      <c r="G50" s="354"/>
      <c r="H50" s="354"/>
      <c r="I50" s="354"/>
      <c r="J50" s="354"/>
      <c r="K50" s="354"/>
    </row>
    <row r="51" spans="1:11" ht="16.5" customHeight="1">
      <c r="A51" s="351"/>
      <c r="B51" s="352"/>
      <c r="C51" s="353"/>
      <c r="D51" s="353"/>
      <c r="E51" s="353"/>
      <c r="F51" s="353"/>
      <c r="G51" s="353"/>
      <c r="H51" s="353"/>
      <c r="I51" s="353"/>
      <c r="J51" s="353"/>
      <c r="K51" s="353"/>
    </row>
    <row r="52" spans="1:11" ht="16.5" customHeight="1">
      <c r="A52" s="351"/>
      <c r="B52" s="352"/>
      <c r="C52" s="353"/>
      <c r="D52" s="353"/>
      <c r="E52" s="353"/>
      <c r="F52" s="353"/>
      <c r="G52" s="353"/>
      <c r="H52" s="353"/>
      <c r="I52" s="353"/>
      <c r="J52" s="353"/>
      <c r="K52" s="353"/>
    </row>
    <row r="53" spans="1:11" ht="16.5" customHeight="1">
      <c r="A53" s="352"/>
      <c r="B53" s="352"/>
      <c r="C53" s="355"/>
      <c r="D53" s="355"/>
      <c r="E53" s="355"/>
      <c r="F53" s="355"/>
      <c r="G53" s="355"/>
      <c r="H53" s="355"/>
      <c r="I53" s="355"/>
      <c r="J53" s="355"/>
      <c r="K53" s="355"/>
    </row>
    <row r="54" spans="1:11" ht="16.5" customHeight="1">
      <c r="A54" s="59"/>
      <c r="B54" s="350"/>
      <c r="C54" s="58"/>
      <c r="D54" s="58"/>
      <c r="E54" s="58"/>
      <c r="F54" s="58"/>
      <c r="G54" s="58"/>
      <c r="H54" s="58"/>
      <c r="I54" s="58"/>
      <c r="J54" s="58"/>
      <c r="K54" s="58"/>
    </row>
    <row r="55" spans="1:11" ht="16.5" customHeight="1">
      <c r="A55" s="59"/>
      <c r="B55" s="350"/>
      <c r="C55" s="58"/>
      <c r="D55" s="58"/>
    </row>
    <row r="56" spans="1:11" ht="16.5" customHeight="1">
      <c r="A56" s="59"/>
      <c r="B56" s="350"/>
      <c r="C56" s="58"/>
      <c r="D56" s="58"/>
    </row>
    <row r="57" spans="1:11" ht="16.5" customHeight="1">
      <c r="A57" s="59"/>
      <c r="B57" s="350"/>
      <c r="C57" s="58"/>
      <c r="D57" s="58"/>
    </row>
    <row r="58" spans="1:11" ht="16.5" customHeight="1">
      <c r="A58" s="59"/>
      <c r="B58" s="350"/>
      <c r="C58" s="58"/>
      <c r="D58" s="58"/>
    </row>
    <row r="59" spans="1:11" ht="16.5" customHeight="1">
      <c r="C59" s="26"/>
      <c r="D59" s="26"/>
    </row>
    <row r="64" spans="1:11" ht="16.5" customHeight="1">
      <c r="E64" s="24" t="s">
        <v>117</v>
      </c>
    </row>
  </sheetData>
  <sheetProtection algorithmName="SHA-512" hashValue="ljzuO6D9lu2UwFREvvWjJj9d0Lgc1GWxnpRoyQNCM66OISv5Xj7SASvbv+Kz8N+i2b+VtLQdg573kvpprzIgoQ==" saltValue="vLkOwgpBScjnPFoy54KZTg==" spinCount="100000" sheet="1" objects="1" scenarios="1"/>
  <mergeCells count="4">
    <mergeCell ref="C4:E4"/>
    <mergeCell ref="F4:G4"/>
    <mergeCell ref="H4:I4"/>
    <mergeCell ref="J4:K4"/>
  </mergeCells>
  <phoneticPr fontId="3"/>
  <conditionalFormatting sqref="C5:D33">
    <cfRule type="containsBlanks" dxfId="3" priority="1">
      <formula>LEN(TRIM(C5))=0</formula>
    </cfRule>
  </conditionalFormatting>
  <conditionalFormatting sqref="F5:F32">
    <cfRule type="containsBlanks" dxfId="2" priority="6">
      <formula>LEN(TRIM(F5))=0</formula>
    </cfRule>
  </conditionalFormatting>
  <conditionalFormatting sqref="H5:H29">
    <cfRule type="containsBlanks" dxfId="1" priority="5">
      <formula>LEN(TRIM(H5))=0</formula>
    </cfRule>
  </conditionalFormatting>
  <conditionalFormatting sqref="J5:J29">
    <cfRule type="containsBlanks" dxfId="0" priority="4">
      <formula>LEN(TRIM(J5))=0</formula>
    </cfRule>
  </conditionalFormatting>
  <pageMargins left="0.78740157480314965" right="0.70866141732283472" top="0.74803149606299213" bottom="0.74803149606299213" header="0.31496062992125984" footer="0.31496062992125984"/>
  <pageSetup paperSize="9" scale="46" orientation="portrait" r:id="rId1"/>
  <ignoredErrors>
    <ignoredError sqref="G5 I5 H5 J5:K5" formula="1"/>
    <ignoredError sqref="I26 C6:E6 H6 C7:E7 H7 C8:E8 H8 C9:E9 H9 C10:E10 H10 C11:E11 H11 C12:E12 H12 C13:E13 H13 C14:E14 H14 C15:E15 H15 C16:E16 H16 C17:E17 H17 C18:E18 H18 C19:E19 H19 C20:E20 H20 C21:E21 H21 C22:E22 H22 C23:E23 H23 C24:E24 H24 C25:E25 H25 C26:E26 H26 C27:E27 H27 C28:E28 H28 C29:E29 H29 H30 I6:J6 I7 I8 I9 I10 I11 I12 I13 I14 I15 I16 I17 I18 I19 I20 I21 I22 I23 I24 I25 I29 I27 I28 C32:E32 C31:E31 C30:E30 C33:E33 F6:F14 F15:F29 G6:G32 F30:F32 J7:K29 K6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コード表!$B$108:$B$155</xm:f>
          </x14:formula1>
          <xm:sqref>B2</xm:sqref>
        </x14:dataValidation>
        <x14:dataValidation type="list" allowBlank="1" showInputMessage="1" showErrorMessage="1" xr:uid="{00000000-0002-0000-0100-000001000000}">
          <x14:formula1>
            <xm:f>コード表!$F$108:$F$120</xm:f>
          </x14:formula1>
          <xm:sqref>E2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D241"/>
  <sheetViews>
    <sheetView showGridLines="0" view="pageBreakPreview" zoomScale="70" zoomScaleNormal="90" zoomScaleSheetLayoutView="70" workbookViewId="0">
      <pane xSplit="2" ySplit="5" topLeftCell="C6" activePane="bottomRight" state="frozen"/>
      <selection activeCell="T665" sqref="T665"/>
      <selection pane="topRight" activeCell="T665" sqref="T665"/>
      <selection pane="bottomLeft" activeCell="T665" sqref="T665"/>
      <selection pane="bottomRight" activeCell="T665" sqref="T665"/>
    </sheetView>
  </sheetViews>
  <sheetFormatPr defaultColWidth="9" defaultRowHeight="15.75" customHeight="1"/>
  <cols>
    <col min="1" max="1" width="3.75" style="24" customWidth="1"/>
    <col min="2" max="2" width="55.25" style="24" bestFit="1" customWidth="1"/>
    <col min="3" max="15" width="12.5" style="24" customWidth="1"/>
    <col min="16" max="16" width="9" style="24"/>
    <col min="17" max="17" width="10" style="24" customWidth="1"/>
    <col min="18" max="18" width="25" style="24" customWidth="1"/>
    <col min="19" max="20" width="12.5" style="24" customWidth="1"/>
    <col min="21" max="21" width="25" style="24" customWidth="1"/>
    <col min="22" max="23" width="12.5" style="24" customWidth="1"/>
    <col min="24" max="24" width="9" style="24"/>
    <col min="25" max="30" width="12.5" style="24" customWidth="1"/>
    <col min="31" max="16384" width="9" style="24"/>
  </cols>
  <sheetData>
    <row r="1" spans="1:19" ht="16.5" customHeight="1">
      <c r="A1" s="83" t="str">
        <f ca="1">RIGHT(CELL("filename",A1),LEN(CELL("filename",A1))-FIND("]",CELL("filename",A1)))</f>
        <v>地域分析BD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6.5" customHeight="1">
      <c r="A2" s="110" t="str">
        <f>INDEX(コード表!$B$108:$D$155,MATCH(B2,コード表!$B$108:$B$155,0),2)</f>
        <v>那　　覇</v>
      </c>
      <c r="B2" s="157" t="str">
        <f>地域分析!B2</f>
        <v>那 覇 市</v>
      </c>
      <c r="C2" s="242" t="s">
        <v>275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9" ht="16.5" customHeight="1">
      <c r="A3" s="34" t="s">
        <v>269</v>
      </c>
      <c r="B3" s="96"/>
      <c r="C3" s="97"/>
      <c r="D3" s="97"/>
      <c r="E3" s="97"/>
      <c r="F3" s="2"/>
      <c r="G3" s="2"/>
      <c r="H3" s="1"/>
      <c r="I3" s="2"/>
      <c r="J3" s="2"/>
      <c r="K3" s="2"/>
      <c r="L3" s="2"/>
      <c r="M3" s="2"/>
      <c r="N3" s="2"/>
      <c r="O3" s="2"/>
      <c r="R3" s="69" t="s">
        <v>118</v>
      </c>
    </row>
    <row r="4" spans="1:19" ht="16.5" customHeight="1">
      <c r="A4" s="6"/>
      <c r="B4" s="7"/>
      <c r="C4" s="8">
        <v>23</v>
      </c>
      <c r="D4" s="9">
        <f t="shared" ref="D4:L5" si="0">C4+1</f>
        <v>24</v>
      </c>
      <c r="E4" s="9">
        <f t="shared" si="0"/>
        <v>25</v>
      </c>
      <c r="F4" s="9">
        <f t="shared" si="0"/>
        <v>26</v>
      </c>
      <c r="G4" s="9">
        <f t="shared" si="0"/>
        <v>27</v>
      </c>
      <c r="H4" s="9">
        <f t="shared" si="0"/>
        <v>28</v>
      </c>
      <c r="I4" s="9">
        <f t="shared" si="0"/>
        <v>29</v>
      </c>
      <c r="J4" s="9">
        <f t="shared" si="0"/>
        <v>30</v>
      </c>
      <c r="K4" s="10">
        <v>1</v>
      </c>
      <c r="L4" s="9">
        <f t="shared" si="0"/>
        <v>2</v>
      </c>
      <c r="M4" s="9">
        <f t="shared" ref="M4:M5" si="1">L4+1</f>
        <v>3</v>
      </c>
      <c r="N4" s="9">
        <f t="shared" ref="N4:N5" si="2">M4+1</f>
        <v>4</v>
      </c>
      <c r="O4" s="9">
        <f t="shared" ref="O4:O5" si="3">N4+1</f>
        <v>5</v>
      </c>
      <c r="R4" s="192" t="str">
        <f>"("&amp;地域分析!$E$2&amp;")"</f>
        <v>(令和５年度)</v>
      </c>
    </row>
    <row r="5" spans="1:19" ht="16.5" customHeight="1">
      <c r="A5" s="12"/>
      <c r="B5" s="13"/>
      <c r="C5" s="14">
        <v>2011</v>
      </c>
      <c r="D5" s="15">
        <f>C5+1</f>
        <v>2012</v>
      </c>
      <c r="E5" s="15">
        <f t="shared" si="0"/>
        <v>2013</v>
      </c>
      <c r="F5" s="15">
        <f t="shared" si="0"/>
        <v>2014</v>
      </c>
      <c r="G5" s="15">
        <f t="shared" si="0"/>
        <v>2015</v>
      </c>
      <c r="H5" s="15">
        <f t="shared" si="0"/>
        <v>2016</v>
      </c>
      <c r="I5" s="15">
        <f t="shared" si="0"/>
        <v>2017</v>
      </c>
      <c r="J5" s="15">
        <f t="shared" si="0"/>
        <v>2018</v>
      </c>
      <c r="K5" s="15">
        <f>J5+1</f>
        <v>2019</v>
      </c>
      <c r="L5" s="15">
        <f t="shared" ref="L5" si="4">K5+1</f>
        <v>2020</v>
      </c>
      <c r="M5" s="15">
        <f t="shared" si="1"/>
        <v>2021</v>
      </c>
      <c r="N5" s="15">
        <f t="shared" si="2"/>
        <v>2022</v>
      </c>
      <c r="O5" s="15">
        <f t="shared" si="3"/>
        <v>2023</v>
      </c>
    </row>
    <row r="6" spans="1:19" ht="16.5" customHeight="1">
      <c r="A6" s="114" t="s">
        <v>159</v>
      </c>
      <c r="B6" s="23" t="s">
        <v>51</v>
      </c>
      <c r="C6" s="117">
        <f ca="1">INDIRECT("'"&amp;コード表!$C$3&amp;"'!"&amp;コード表!$D68&amp;コード表!C$104)</f>
        <v>321</v>
      </c>
      <c r="D6" s="48">
        <f ca="1">INDIRECT("'"&amp;コード表!$C$3&amp;"'!"&amp;コード表!$D68&amp;コード表!D$104)</f>
        <v>321</v>
      </c>
      <c r="E6" s="48">
        <f ca="1">INDIRECT("'"&amp;コード表!$C$3&amp;"'!"&amp;コード表!$D68&amp;コード表!E$104)</f>
        <v>284</v>
      </c>
      <c r="F6" s="48">
        <f ca="1">INDIRECT("'"&amp;コード表!$C$3&amp;"'!"&amp;コード表!$D68&amp;コード表!F$104)</f>
        <v>277</v>
      </c>
      <c r="G6" s="48">
        <f ca="1">INDIRECT("'"&amp;コード表!$C$3&amp;"'!"&amp;コード表!$D68&amp;コード表!G$104)</f>
        <v>253</v>
      </c>
      <c r="H6" s="48">
        <f ca="1">INDIRECT("'"&amp;コード表!$C$3&amp;"'!"&amp;コード表!$D68&amp;コード表!H$104)</f>
        <v>320</v>
      </c>
      <c r="I6" s="48">
        <f ca="1">INDIRECT("'"&amp;コード表!$C$3&amp;"'!"&amp;コード表!$D68&amp;コード表!I$104)</f>
        <v>298</v>
      </c>
      <c r="J6" s="48">
        <f ca="1">INDIRECT("'"&amp;コード表!$C$3&amp;"'!"&amp;コード表!$D68&amp;コード表!J$104)</f>
        <v>282</v>
      </c>
      <c r="K6" s="48">
        <f ca="1">INDIRECT("'"&amp;コード表!$C$3&amp;"'!"&amp;コード表!$D68&amp;コード表!K$104)</f>
        <v>311</v>
      </c>
      <c r="L6" s="48">
        <f ca="1">INDIRECT("'"&amp;コード表!$C$3&amp;"'!"&amp;コード表!$D68&amp;コード表!L$104)</f>
        <v>284</v>
      </c>
      <c r="M6" s="48">
        <f ca="1">INDIRECT("'"&amp;コード表!$C$3&amp;"'!"&amp;コード表!$D68&amp;コード表!M$104)</f>
        <v>317</v>
      </c>
      <c r="N6" s="48">
        <f ca="1">INDIRECT("'"&amp;コード表!$C$3&amp;"'!"&amp;コード表!$D68&amp;コード表!N$104)</f>
        <v>244</v>
      </c>
      <c r="O6" s="48">
        <f ca="1">INDIRECT("'"&amp;コード表!$C$3&amp;"'!"&amp;コード表!$D68&amp;コード表!O$104)</f>
        <v>270</v>
      </c>
      <c r="R6" s="62" t="s">
        <v>226</v>
      </c>
      <c r="S6" s="61">
        <f ca="1">地域分析!G26</f>
        <v>-3.8759999999999999</v>
      </c>
    </row>
    <row r="7" spans="1:19" ht="16.5" customHeight="1">
      <c r="A7" s="114" t="s">
        <v>3</v>
      </c>
      <c r="B7" s="99" t="s">
        <v>52</v>
      </c>
      <c r="C7" s="36">
        <f ca="1">INDIRECT("'"&amp;コード表!$C$3&amp;"'!"&amp;コード表!$D69&amp;コード表!C$104)</f>
        <v>23</v>
      </c>
      <c r="D7" s="38">
        <f ca="1">INDIRECT("'"&amp;コード表!$C$3&amp;"'!"&amp;コード表!$D69&amp;コード表!D$104)</f>
        <v>23</v>
      </c>
      <c r="E7" s="38">
        <f ca="1">INDIRECT("'"&amp;コード表!$C$3&amp;"'!"&amp;コード表!$D69&amp;コード表!E$104)</f>
        <v>27</v>
      </c>
      <c r="F7" s="38">
        <f ca="1">INDIRECT("'"&amp;コード表!$C$3&amp;"'!"&amp;コード表!$D69&amp;コード表!F$104)</f>
        <v>32</v>
      </c>
      <c r="G7" s="38">
        <f ca="1">INDIRECT("'"&amp;コード表!$C$3&amp;"'!"&amp;コード表!$D69&amp;コード表!G$104)</f>
        <v>32</v>
      </c>
      <c r="H7" s="38">
        <f ca="1">INDIRECT("'"&amp;コード表!$C$3&amp;"'!"&amp;コード表!$D69&amp;コード表!H$104)</f>
        <v>35</v>
      </c>
      <c r="I7" s="38">
        <f ca="1">INDIRECT("'"&amp;コード表!$C$3&amp;"'!"&amp;コード表!$D69&amp;コード表!I$104)</f>
        <v>34</v>
      </c>
      <c r="J7" s="38">
        <f ca="1">INDIRECT("'"&amp;コード表!$C$3&amp;"'!"&amp;コード表!$D69&amp;コード表!J$104)</f>
        <v>36</v>
      </c>
      <c r="K7" s="38">
        <f ca="1">INDIRECT("'"&amp;コード表!$C$3&amp;"'!"&amp;コード表!$D69&amp;コード表!K$104)</f>
        <v>46</v>
      </c>
      <c r="L7" s="38">
        <f ca="1">INDIRECT("'"&amp;コード表!$C$3&amp;"'!"&amp;コード表!$D69&amp;コード表!L$104)</f>
        <v>52</v>
      </c>
      <c r="M7" s="38">
        <f ca="1">INDIRECT("'"&amp;コード表!$C$3&amp;"'!"&amp;コード表!$D69&amp;コード表!M$104)</f>
        <v>53</v>
      </c>
      <c r="N7" s="38">
        <f ca="1">INDIRECT("'"&amp;コード表!$C$3&amp;"'!"&amp;コード表!$D69&amp;コード表!N$104)</f>
        <v>45</v>
      </c>
      <c r="O7" s="38">
        <f ca="1">INDIRECT("'"&amp;コード表!$C$3&amp;"'!"&amp;コード表!$D69&amp;コード表!O$104)</f>
        <v>44</v>
      </c>
      <c r="R7" s="64" t="s">
        <v>227</v>
      </c>
      <c r="S7" s="63">
        <f ca="1">地域分析!G25</f>
        <v>0.748</v>
      </c>
    </row>
    <row r="8" spans="1:19" ht="16.5" customHeight="1">
      <c r="A8" s="114" t="s">
        <v>5</v>
      </c>
      <c r="B8" s="99" t="s">
        <v>53</v>
      </c>
      <c r="C8" s="36">
        <f ca="1">INDIRECT("'"&amp;コード表!$C$3&amp;"'!"&amp;コード表!$D70&amp;コード表!C$104)</f>
        <v>1442</v>
      </c>
      <c r="D8" s="38">
        <f ca="1">INDIRECT("'"&amp;コード表!$C$3&amp;"'!"&amp;コード表!$D70&amp;コード表!D$104)</f>
        <v>1697</v>
      </c>
      <c r="E8" s="38">
        <f ca="1">INDIRECT("'"&amp;コード表!$C$3&amp;"'!"&amp;コード表!$D70&amp;コード表!E$104)</f>
        <v>1727</v>
      </c>
      <c r="F8" s="38">
        <f ca="1">INDIRECT("'"&amp;コード表!$C$3&amp;"'!"&amp;コード表!$D70&amp;コード表!F$104)</f>
        <v>1717</v>
      </c>
      <c r="G8" s="38">
        <f ca="1">INDIRECT("'"&amp;コード表!$C$3&amp;"'!"&amp;コード表!$D70&amp;コード表!G$104)</f>
        <v>2315</v>
      </c>
      <c r="H8" s="38">
        <f ca="1">INDIRECT("'"&amp;コード表!$C$3&amp;"'!"&amp;コード表!$D70&amp;コード表!H$104)</f>
        <v>2263</v>
      </c>
      <c r="I8" s="38">
        <f ca="1">INDIRECT("'"&amp;コード表!$C$3&amp;"'!"&amp;コード表!$D70&amp;コード表!I$104)</f>
        <v>2508</v>
      </c>
      <c r="J8" s="38">
        <f ca="1">INDIRECT("'"&amp;コード表!$C$3&amp;"'!"&amp;コード表!$D70&amp;コード表!J$104)</f>
        <v>2471</v>
      </c>
      <c r="K8" s="38">
        <f ca="1">INDIRECT("'"&amp;コード表!$C$3&amp;"'!"&amp;コード表!$D70&amp;コード表!K$104)</f>
        <v>2243</v>
      </c>
      <c r="L8" s="38">
        <f ca="1">INDIRECT("'"&amp;コード表!$C$3&amp;"'!"&amp;コード表!$D70&amp;コード表!L$104)</f>
        <v>1636</v>
      </c>
      <c r="M8" s="38">
        <f ca="1">INDIRECT("'"&amp;コード表!$C$3&amp;"'!"&amp;コード表!$D70&amp;コード表!M$104)</f>
        <v>1825</v>
      </c>
      <c r="N8" s="38">
        <f ca="1">INDIRECT("'"&amp;コード表!$C$3&amp;"'!"&amp;コード表!$D70&amp;コード表!N$104)</f>
        <v>1650</v>
      </c>
      <c r="O8" s="38">
        <f ca="1">INDIRECT("'"&amp;コード表!$C$3&amp;"'!"&amp;コード表!$D70&amp;コード表!O$104)</f>
        <v>2037</v>
      </c>
      <c r="R8" s="66" t="s">
        <v>228</v>
      </c>
      <c r="S8" s="63">
        <f ca="1">地域分析!G24</f>
        <v>-1.4730000000000001</v>
      </c>
    </row>
    <row r="9" spans="1:19" ht="16.5" customHeight="1">
      <c r="A9" s="114" t="s">
        <v>7</v>
      </c>
      <c r="B9" s="23" t="s">
        <v>54</v>
      </c>
      <c r="C9" s="36">
        <f ca="1">INDIRECT("'"&amp;コード表!$C$3&amp;"'!"&amp;コード表!$D71&amp;コード表!C$104)</f>
        <v>179</v>
      </c>
      <c r="D9" s="38">
        <f ca="1">INDIRECT("'"&amp;コード表!$C$3&amp;"'!"&amp;コード表!$D71&amp;コード表!D$104)</f>
        <v>187</v>
      </c>
      <c r="E9" s="38">
        <f ca="1">INDIRECT("'"&amp;コード表!$C$3&amp;"'!"&amp;コード表!$D71&amp;コード表!E$104)</f>
        <v>238</v>
      </c>
      <c r="F9" s="38">
        <f ca="1">INDIRECT("'"&amp;コード表!$C$3&amp;"'!"&amp;コード表!$D71&amp;コード表!F$104)</f>
        <v>288</v>
      </c>
      <c r="G9" s="38">
        <f ca="1">INDIRECT("'"&amp;コード表!$C$3&amp;"'!"&amp;コード表!$D71&amp;コード表!G$104)</f>
        <v>379</v>
      </c>
      <c r="H9" s="38">
        <f ca="1">INDIRECT("'"&amp;コード表!$C$3&amp;"'!"&amp;コード表!$D71&amp;コード表!H$104)</f>
        <v>413</v>
      </c>
      <c r="I9" s="38">
        <f ca="1">INDIRECT("'"&amp;コード表!$C$3&amp;"'!"&amp;コード表!$D71&amp;コード表!I$104)</f>
        <v>479</v>
      </c>
      <c r="J9" s="38">
        <f ca="1">INDIRECT("'"&amp;コード表!$C$3&amp;"'!"&amp;コード表!$D71&amp;コード表!J$104)</f>
        <v>519</v>
      </c>
      <c r="K9" s="38">
        <f ca="1">INDIRECT("'"&amp;コード表!$C$3&amp;"'!"&amp;コード表!$D71&amp;コード表!K$104)</f>
        <v>559</v>
      </c>
      <c r="L9" s="38">
        <f ca="1">INDIRECT("'"&amp;コード表!$C$3&amp;"'!"&amp;コード表!$D71&amp;コード表!L$104)</f>
        <v>601</v>
      </c>
      <c r="M9" s="38">
        <f ca="1">INDIRECT("'"&amp;コード表!$C$3&amp;"'!"&amp;コード表!$D71&amp;コード表!M$104)</f>
        <v>606</v>
      </c>
      <c r="N9" s="38">
        <f ca="1">INDIRECT("'"&amp;コード表!$C$3&amp;"'!"&amp;コード表!$D71&amp;コード表!N$104)</f>
        <v>755</v>
      </c>
      <c r="O9" s="38">
        <f ca="1">INDIRECT("'"&amp;コード表!$C$3&amp;"'!"&amp;コード表!$D71&amp;コード表!O$104)</f>
        <v>751</v>
      </c>
      <c r="R9" s="62" t="s">
        <v>229</v>
      </c>
      <c r="S9" s="61">
        <f ca="1">地域分析!G23</f>
        <v>4.4480000000000004</v>
      </c>
    </row>
    <row r="10" spans="1:19" ht="16.5" customHeight="1">
      <c r="A10" s="114" t="s">
        <v>9</v>
      </c>
      <c r="B10" s="99" t="s">
        <v>55</v>
      </c>
      <c r="C10" s="36">
        <f ca="1">INDIRECT("'"&amp;コード表!$C$3&amp;"'!"&amp;コード表!$D72&amp;コード表!C$104)</f>
        <v>14203</v>
      </c>
      <c r="D10" s="38">
        <f ca="1">INDIRECT("'"&amp;コード表!$C$3&amp;"'!"&amp;コード表!$D72&amp;コード表!D$104)</f>
        <v>13567</v>
      </c>
      <c r="E10" s="38">
        <f ca="1">INDIRECT("'"&amp;コード表!$C$3&amp;"'!"&amp;コード表!$D72&amp;コード表!E$104)</f>
        <v>13772</v>
      </c>
      <c r="F10" s="38">
        <f ca="1">INDIRECT("'"&amp;コード表!$C$3&amp;"'!"&amp;コード表!$D72&amp;コード表!F$104)</f>
        <v>13517</v>
      </c>
      <c r="G10" s="38">
        <f ca="1">INDIRECT("'"&amp;コード表!$C$3&amp;"'!"&amp;コード表!$D72&amp;コード表!G$104)</f>
        <v>12523</v>
      </c>
      <c r="H10" s="38">
        <f ca="1">INDIRECT("'"&amp;コード表!$C$3&amp;"'!"&amp;コード表!$D72&amp;コード表!H$104)</f>
        <v>9875</v>
      </c>
      <c r="I10" s="38">
        <f ca="1">INDIRECT("'"&amp;コード表!$C$3&amp;"'!"&amp;コード表!$D72&amp;コード表!I$104)</f>
        <v>13347</v>
      </c>
      <c r="J10" s="38">
        <f ca="1">INDIRECT("'"&amp;コード表!$C$3&amp;"'!"&amp;コード表!$D72&amp;コード表!J$104)</f>
        <v>13989</v>
      </c>
      <c r="K10" s="38">
        <f ca="1">INDIRECT("'"&amp;コード表!$C$3&amp;"'!"&amp;コード表!$D72&amp;コード表!K$104)</f>
        <v>11400</v>
      </c>
      <c r="L10" s="38">
        <f ca="1">INDIRECT("'"&amp;コード表!$C$3&amp;"'!"&amp;コード表!$D72&amp;コード表!L$104)</f>
        <v>14350</v>
      </c>
      <c r="M10" s="38">
        <f ca="1">INDIRECT("'"&amp;コード表!$C$3&amp;"'!"&amp;コード表!$D72&amp;コード表!M$104)</f>
        <v>13238</v>
      </c>
      <c r="N10" s="38">
        <f ca="1">INDIRECT("'"&amp;コード表!$C$3&amp;"'!"&amp;コード表!$D72&amp;コード表!N$104)</f>
        <v>13029</v>
      </c>
      <c r="O10" s="38">
        <f ca="1">INDIRECT("'"&amp;コード表!$C$3&amp;"'!"&amp;コード表!$D72&amp;コード表!O$104)</f>
        <v>14710</v>
      </c>
      <c r="R10" s="64" t="s">
        <v>230</v>
      </c>
      <c r="S10" s="63">
        <f ca="1">地域分析!G22</f>
        <v>-2.9769999999999999</v>
      </c>
    </row>
    <row r="11" spans="1:19" ht="16.5" customHeight="1">
      <c r="A11" s="114" t="s">
        <v>11</v>
      </c>
      <c r="B11" s="99" t="s">
        <v>57</v>
      </c>
      <c r="C11" s="36">
        <f ca="1">INDIRECT("'"&amp;コード表!$C$3&amp;"'!"&amp;コード表!$D74&amp;コード表!C$104)</f>
        <v>46042</v>
      </c>
      <c r="D11" s="38">
        <f ca="1">INDIRECT("'"&amp;コード表!$C$3&amp;"'!"&amp;コード表!$D74&amp;コード表!D$104)</f>
        <v>49567</v>
      </c>
      <c r="E11" s="38">
        <f ca="1">INDIRECT("'"&amp;コード表!$C$3&amp;"'!"&amp;コード表!$D74&amp;コード表!E$104)</f>
        <v>53277</v>
      </c>
      <c r="F11" s="38">
        <f ca="1">INDIRECT("'"&amp;コード表!$C$3&amp;"'!"&amp;コード表!$D74&amp;コード表!F$104)</f>
        <v>79695</v>
      </c>
      <c r="G11" s="38">
        <f ca="1">INDIRECT("'"&amp;コード表!$C$3&amp;"'!"&amp;コード表!$D74&amp;コード表!G$104)</f>
        <v>88860</v>
      </c>
      <c r="H11" s="38">
        <f ca="1">INDIRECT("'"&amp;コード表!$C$3&amp;"'!"&amp;コード表!$D74&amp;コード表!H$104)</f>
        <v>101960</v>
      </c>
      <c r="I11" s="38">
        <f ca="1">INDIRECT("'"&amp;コード表!$C$3&amp;"'!"&amp;コード表!$D74&amp;コード表!I$104)</f>
        <v>98269</v>
      </c>
      <c r="J11" s="38">
        <f ca="1">INDIRECT("'"&amp;コード表!$C$3&amp;"'!"&amp;コード表!$D74&amp;コード表!J$104)</f>
        <v>91544</v>
      </c>
      <c r="K11" s="38">
        <f ca="1">INDIRECT("'"&amp;コード表!$C$3&amp;"'!"&amp;コード表!$D74&amp;コード表!K$104)</f>
        <v>86858</v>
      </c>
      <c r="L11" s="38">
        <f ca="1">INDIRECT("'"&amp;コード表!$C$3&amp;"'!"&amp;コード表!$D74&amp;コード表!L$104)</f>
        <v>69966</v>
      </c>
      <c r="M11" s="38">
        <f ca="1">INDIRECT("'"&amp;コード表!$C$3&amp;"'!"&amp;コード表!$D74&amp;コード表!M$104)</f>
        <v>96506</v>
      </c>
      <c r="N11" s="38">
        <f ca="1">INDIRECT("'"&amp;コード表!$C$3&amp;"'!"&amp;コード表!$D74&amp;コード表!N$104)</f>
        <v>64222</v>
      </c>
      <c r="O11" s="38">
        <f ca="1">INDIRECT("'"&amp;コード表!$C$3&amp;"'!"&amp;コード表!$D74&amp;コード表!O$104)</f>
        <v>63250</v>
      </c>
      <c r="R11" s="64" t="s">
        <v>231</v>
      </c>
      <c r="S11" s="63">
        <f ca="1">地域分析!G21</f>
        <v>-2.1459999999999999</v>
      </c>
    </row>
    <row r="12" spans="1:19" ht="16.5" customHeight="1">
      <c r="A12" s="114" t="s">
        <v>13</v>
      </c>
      <c r="B12" s="99" t="s">
        <v>56</v>
      </c>
      <c r="C12" s="36">
        <f ca="1">INDIRECT("'"&amp;コード表!$C$3&amp;"'!"&amp;コード表!$D73&amp;コード表!C$104)</f>
        <v>24902</v>
      </c>
      <c r="D12" s="38">
        <f ca="1">INDIRECT("'"&amp;コード表!$C$3&amp;"'!"&amp;コード表!$D73&amp;コード表!D$104)</f>
        <v>24401</v>
      </c>
      <c r="E12" s="38">
        <f ca="1">INDIRECT("'"&amp;コード表!$C$3&amp;"'!"&amp;コード表!$D73&amp;コード表!E$104)</f>
        <v>23356</v>
      </c>
      <c r="F12" s="38">
        <f ca="1">INDIRECT("'"&amp;コード表!$C$3&amp;"'!"&amp;コード表!$D73&amp;コード表!F$104)</f>
        <v>28750</v>
      </c>
      <c r="G12" s="38">
        <f ca="1">INDIRECT("'"&amp;コード表!$C$3&amp;"'!"&amp;コード表!$D73&amp;コード表!G$104)</f>
        <v>28919</v>
      </c>
      <c r="H12" s="38">
        <f ca="1">INDIRECT("'"&amp;コード表!$C$3&amp;"'!"&amp;コード表!$D73&amp;コード表!H$104)</f>
        <v>31859</v>
      </c>
      <c r="I12" s="38">
        <f ca="1">INDIRECT("'"&amp;コード表!$C$3&amp;"'!"&amp;コード表!$D73&amp;コード表!I$104)</f>
        <v>31032</v>
      </c>
      <c r="J12" s="38">
        <f ca="1">INDIRECT("'"&amp;コード表!$C$3&amp;"'!"&amp;コード表!$D73&amp;コード表!J$104)</f>
        <v>31136</v>
      </c>
      <c r="K12" s="38">
        <f ca="1">INDIRECT("'"&amp;コード表!$C$3&amp;"'!"&amp;コード表!$D73&amp;コード表!K$104)</f>
        <v>33247</v>
      </c>
      <c r="L12" s="38">
        <f ca="1">INDIRECT("'"&amp;コード表!$C$3&amp;"'!"&amp;コード表!$D73&amp;コード表!L$104)</f>
        <v>32966</v>
      </c>
      <c r="M12" s="38">
        <f ca="1">INDIRECT("'"&amp;コード表!$C$3&amp;"'!"&amp;コード表!$D73&amp;コード表!M$104)</f>
        <v>33674</v>
      </c>
      <c r="N12" s="38">
        <f ca="1">INDIRECT("'"&amp;コード表!$C$3&amp;"'!"&amp;コード表!$D73&amp;コード表!N$104)</f>
        <v>26856</v>
      </c>
      <c r="O12" s="38">
        <f ca="1">INDIRECT("'"&amp;コード表!$C$3&amp;"'!"&amp;コード表!$D73&amp;コード表!O$104)</f>
        <v>29520</v>
      </c>
      <c r="R12" s="64" t="s">
        <v>232</v>
      </c>
      <c r="S12" s="63">
        <f ca="1">地域分析!G20</f>
        <v>5.4790000000000001</v>
      </c>
    </row>
    <row r="13" spans="1:19" ht="16.5" customHeight="1">
      <c r="A13" s="114" t="s">
        <v>15</v>
      </c>
      <c r="B13" s="99" t="s">
        <v>58</v>
      </c>
      <c r="C13" s="36">
        <f ca="1">INDIRECT("'"&amp;コード表!$C$3&amp;"'!"&amp;コード表!$D75&amp;コード表!C$104)</f>
        <v>116127</v>
      </c>
      <c r="D13" s="38">
        <f ca="1">INDIRECT("'"&amp;コード表!$C$3&amp;"'!"&amp;コード表!$D75&amp;コード表!D$104)</f>
        <v>118263</v>
      </c>
      <c r="E13" s="38">
        <f ca="1">INDIRECT("'"&amp;コード表!$C$3&amp;"'!"&amp;コード表!$D75&amp;コード表!E$104)</f>
        <v>122216</v>
      </c>
      <c r="F13" s="38">
        <f ca="1">INDIRECT("'"&amp;コード表!$C$3&amp;"'!"&amp;コード表!$D75&amp;コード表!F$104)</f>
        <v>120743</v>
      </c>
      <c r="G13" s="38">
        <f ca="1">INDIRECT("'"&amp;コード表!$C$3&amp;"'!"&amp;コード表!$D75&amp;コード表!G$104)</f>
        <v>121597</v>
      </c>
      <c r="H13" s="38">
        <f ca="1">INDIRECT("'"&amp;コード表!$C$3&amp;"'!"&amp;コード表!$D75&amp;コード表!H$104)</f>
        <v>120412</v>
      </c>
      <c r="I13" s="38">
        <f ca="1">INDIRECT("'"&amp;コード表!$C$3&amp;"'!"&amp;コード表!$D75&amp;コード表!I$104)</f>
        <v>124426</v>
      </c>
      <c r="J13" s="38">
        <f ca="1">INDIRECT("'"&amp;コード表!$C$3&amp;"'!"&amp;コード表!$D75&amp;コード表!J$104)</f>
        <v>123487</v>
      </c>
      <c r="K13" s="38">
        <f ca="1">INDIRECT("'"&amp;コード表!$C$3&amp;"'!"&amp;コード表!$D75&amp;コード表!K$104)</f>
        <v>120071</v>
      </c>
      <c r="L13" s="38">
        <f ca="1">INDIRECT("'"&amp;コード表!$C$3&amp;"'!"&amp;コード表!$D75&amp;コード表!L$104)</f>
        <v>111726</v>
      </c>
      <c r="M13" s="38">
        <f ca="1">INDIRECT("'"&amp;コード表!$C$3&amp;"'!"&amp;コード表!$D75&amp;コード表!M$104)</f>
        <v>118595</v>
      </c>
      <c r="N13" s="38">
        <f ca="1">INDIRECT("'"&amp;コード表!$C$3&amp;"'!"&amp;コード表!$D75&amp;コード表!N$104)</f>
        <v>122378</v>
      </c>
      <c r="O13" s="38">
        <f ca="1">INDIRECT("'"&amp;コード表!$C$3&amp;"'!"&amp;コード表!$D75&amp;コード表!O$104)</f>
        <v>127138</v>
      </c>
      <c r="R13" s="64" t="s">
        <v>233</v>
      </c>
      <c r="S13" s="63">
        <f ca="1">地域分析!G19</f>
        <v>1.1539999999999999</v>
      </c>
    </row>
    <row r="14" spans="1:19" ht="16.5" customHeight="1">
      <c r="A14" s="114" t="s">
        <v>16</v>
      </c>
      <c r="B14" s="99" t="s">
        <v>59</v>
      </c>
      <c r="C14" s="36">
        <f ca="1">INDIRECT("'"&amp;コード表!$C$3&amp;"'!"&amp;コード表!$D76&amp;コード表!C$104)</f>
        <v>142559</v>
      </c>
      <c r="D14" s="38">
        <f ca="1">INDIRECT("'"&amp;コード表!$C$3&amp;"'!"&amp;コード表!$D76&amp;コード表!D$104)</f>
        <v>128082</v>
      </c>
      <c r="E14" s="38">
        <f ca="1">INDIRECT("'"&amp;コード表!$C$3&amp;"'!"&amp;コード表!$D76&amp;コード表!E$104)</f>
        <v>140846</v>
      </c>
      <c r="F14" s="38">
        <f ca="1">INDIRECT("'"&amp;コード表!$C$3&amp;"'!"&amp;コード表!$D76&amp;コード表!F$104)</f>
        <v>134994</v>
      </c>
      <c r="G14" s="38">
        <f ca="1">INDIRECT("'"&amp;コード表!$C$3&amp;"'!"&amp;コード表!$D76&amp;コード表!G$104)</f>
        <v>139059</v>
      </c>
      <c r="H14" s="38">
        <f ca="1">INDIRECT("'"&amp;コード表!$C$3&amp;"'!"&amp;コード表!$D76&amp;コード表!H$104)</f>
        <v>151976</v>
      </c>
      <c r="I14" s="38">
        <f ca="1">INDIRECT("'"&amp;コード表!$C$3&amp;"'!"&amp;コード表!$D76&amp;コード表!I$104)</f>
        <v>151072</v>
      </c>
      <c r="J14" s="38">
        <f ca="1">INDIRECT("'"&amp;コード表!$C$3&amp;"'!"&amp;コード表!$D76&amp;コード表!J$104)</f>
        <v>150811</v>
      </c>
      <c r="K14" s="38">
        <f ca="1">INDIRECT("'"&amp;コード表!$C$3&amp;"'!"&amp;コード表!$D76&amp;コード表!K$104)</f>
        <v>144921</v>
      </c>
      <c r="L14" s="38">
        <f ca="1">INDIRECT("'"&amp;コード表!$C$3&amp;"'!"&amp;コード表!$D76&amp;コード表!L$104)</f>
        <v>73194</v>
      </c>
      <c r="M14" s="38">
        <f ca="1">INDIRECT("'"&amp;コード表!$C$3&amp;"'!"&amp;コード表!$D76&amp;コード表!M$104)</f>
        <v>77875</v>
      </c>
      <c r="N14" s="38">
        <f ca="1">INDIRECT("'"&amp;コード表!$C$3&amp;"'!"&amp;コード表!$D76&amp;コード表!N$104)</f>
        <v>106527</v>
      </c>
      <c r="O14" s="38">
        <f ca="1">INDIRECT("'"&amp;コード表!$C$3&amp;"'!"&amp;コード表!$D76&amp;コード表!O$104)</f>
        <v>150029</v>
      </c>
      <c r="R14" s="64" t="s">
        <v>234</v>
      </c>
      <c r="S14" s="63">
        <f ca="1">地域分析!G18</f>
        <v>33.957999999999998</v>
      </c>
    </row>
    <row r="15" spans="1:19" ht="16.5" customHeight="1">
      <c r="A15" s="18">
        <v>10</v>
      </c>
      <c r="B15" s="99" t="s">
        <v>60</v>
      </c>
      <c r="C15" s="36">
        <f ca="1">INDIRECT("'"&amp;コード表!$C$3&amp;"'!"&amp;コード表!$D77&amp;コード表!C$104)</f>
        <v>51644</v>
      </c>
      <c r="D15" s="38">
        <f ca="1">INDIRECT("'"&amp;コード表!$C$3&amp;"'!"&amp;コード表!$D77&amp;コード表!D$104)</f>
        <v>50279</v>
      </c>
      <c r="E15" s="38">
        <f ca="1">INDIRECT("'"&amp;コード表!$C$3&amp;"'!"&amp;コード表!$D77&amp;コード表!E$104)</f>
        <v>51420</v>
      </c>
      <c r="F15" s="38">
        <f ca="1">INDIRECT("'"&amp;コード表!$C$3&amp;"'!"&amp;コード表!$D77&amp;コード表!F$104)</f>
        <v>50539</v>
      </c>
      <c r="G15" s="38">
        <f ca="1">INDIRECT("'"&amp;コード表!$C$3&amp;"'!"&amp;コード表!$D77&amp;コード表!G$104)</f>
        <v>51475</v>
      </c>
      <c r="H15" s="38">
        <f ca="1">INDIRECT("'"&amp;コード表!$C$3&amp;"'!"&amp;コード表!$D77&amp;コード表!H$104)</f>
        <v>58402</v>
      </c>
      <c r="I15" s="38">
        <f ca="1">INDIRECT("'"&amp;コード表!$C$3&amp;"'!"&amp;コード表!$D77&amp;コード表!I$104)</f>
        <v>60536</v>
      </c>
      <c r="J15" s="38">
        <f ca="1">INDIRECT("'"&amp;コード表!$C$3&amp;"'!"&amp;コード表!$D77&amp;コード表!J$104)</f>
        <v>60418</v>
      </c>
      <c r="K15" s="38">
        <f ca="1">INDIRECT("'"&amp;コード表!$C$3&amp;"'!"&amp;コード表!$D77&amp;コード表!K$104)</f>
        <v>56152</v>
      </c>
      <c r="L15" s="38">
        <f ca="1">INDIRECT("'"&amp;コード表!$C$3&amp;"'!"&amp;コード表!$D77&amp;コード表!L$104)</f>
        <v>32485</v>
      </c>
      <c r="M15" s="38">
        <f ca="1">INDIRECT("'"&amp;コード表!$C$3&amp;"'!"&amp;コード表!$D77&amp;コード表!M$104)</f>
        <v>31453</v>
      </c>
      <c r="N15" s="38">
        <f ca="1">INDIRECT("'"&amp;コード表!$C$3&amp;"'!"&amp;コード表!$D77&amp;コード表!N$104)</f>
        <v>47041</v>
      </c>
      <c r="O15" s="38">
        <f ca="1">INDIRECT("'"&amp;コード表!$C$3&amp;"'!"&amp;コード表!$D77&amp;コード表!O$104)</f>
        <v>63015</v>
      </c>
      <c r="R15" s="64" t="s">
        <v>235</v>
      </c>
      <c r="S15" s="63">
        <f ca="1">地域分析!G17</f>
        <v>40.837000000000003</v>
      </c>
    </row>
    <row r="16" spans="1:19" ht="16.5" customHeight="1">
      <c r="A16" s="18">
        <v>11</v>
      </c>
      <c r="B16" s="99" t="s">
        <v>61</v>
      </c>
      <c r="C16" s="36">
        <f ca="1">INDIRECT("'"&amp;コード表!$C$3&amp;"'!"&amp;コード表!$D78&amp;コード表!C$104)</f>
        <v>116084</v>
      </c>
      <c r="D16" s="38">
        <f ca="1">INDIRECT("'"&amp;コード表!$C$3&amp;"'!"&amp;コード表!$D78&amp;コード表!D$104)</f>
        <v>109422</v>
      </c>
      <c r="E16" s="38">
        <f ca="1">INDIRECT("'"&amp;コード表!$C$3&amp;"'!"&amp;コード表!$D78&amp;コード表!E$104)</f>
        <v>107258</v>
      </c>
      <c r="F16" s="38">
        <f ca="1">INDIRECT("'"&amp;コード表!$C$3&amp;"'!"&amp;コード表!$D78&amp;コード表!F$104)</f>
        <v>98532</v>
      </c>
      <c r="G16" s="38">
        <f ca="1">INDIRECT("'"&amp;コード表!$C$3&amp;"'!"&amp;コード表!$D78&amp;コード表!G$104)</f>
        <v>102547</v>
      </c>
      <c r="H16" s="38">
        <f ca="1">INDIRECT("'"&amp;コード表!$C$3&amp;"'!"&amp;コード表!$D78&amp;コード表!H$104)</f>
        <v>108837</v>
      </c>
      <c r="I16" s="38">
        <f ca="1">INDIRECT("'"&amp;コード表!$C$3&amp;"'!"&amp;コード表!$D78&amp;コード表!I$104)</f>
        <v>106815</v>
      </c>
      <c r="J16" s="38">
        <f ca="1">INDIRECT("'"&amp;コード表!$C$3&amp;"'!"&amp;コード表!$D78&amp;コード表!J$104)</f>
        <v>109101</v>
      </c>
      <c r="K16" s="38">
        <f ca="1">INDIRECT("'"&amp;コード表!$C$3&amp;"'!"&amp;コード表!$D78&amp;コード表!K$104)</f>
        <v>102080</v>
      </c>
      <c r="L16" s="38">
        <f ca="1">INDIRECT("'"&amp;コード表!$C$3&amp;"'!"&amp;コード表!$D78&amp;コード表!L$104)</f>
        <v>102050</v>
      </c>
      <c r="M16" s="38">
        <f ca="1">INDIRECT("'"&amp;コード表!$C$3&amp;"'!"&amp;コード表!$D78&amp;コード表!M$104)</f>
        <v>96178</v>
      </c>
      <c r="N16" s="38">
        <f ca="1">INDIRECT("'"&amp;コード表!$C$3&amp;"'!"&amp;コード表!$D78&amp;コード表!N$104)</f>
        <v>94050</v>
      </c>
      <c r="O16" s="38">
        <f ca="1">INDIRECT("'"&amp;コード表!$C$3&amp;"'!"&amp;コード表!$D78&amp;コード表!O$104)</f>
        <v>95135</v>
      </c>
      <c r="R16" s="64" t="s">
        <v>236</v>
      </c>
      <c r="S16" s="63">
        <f ca="1">地域分析!G16</f>
        <v>3.89</v>
      </c>
    </row>
    <row r="17" spans="1:30" ht="16.5" customHeight="1">
      <c r="A17" s="18">
        <v>12</v>
      </c>
      <c r="B17" s="99" t="s">
        <v>62</v>
      </c>
      <c r="C17" s="36">
        <f ca="1">INDIRECT("'"&amp;コード表!$C$3&amp;"'!"&amp;コード表!$D79&amp;コード表!C$104)</f>
        <v>92335</v>
      </c>
      <c r="D17" s="38">
        <f ca="1">INDIRECT("'"&amp;コード表!$C$3&amp;"'!"&amp;コード表!$D79&amp;コード表!D$104)</f>
        <v>89270</v>
      </c>
      <c r="E17" s="38">
        <f ca="1">INDIRECT("'"&amp;コード表!$C$3&amp;"'!"&amp;コード表!$D79&amp;コード表!E$104)</f>
        <v>92518</v>
      </c>
      <c r="F17" s="38">
        <f ca="1">INDIRECT("'"&amp;コード表!$C$3&amp;"'!"&amp;コード表!$D79&amp;コード表!F$104)</f>
        <v>91900</v>
      </c>
      <c r="G17" s="38">
        <f ca="1">INDIRECT("'"&amp;コード表!$C$3&amp;"'!"&amp;コード表!$D79&amp;コード表!G$104)</f>
        <v>91748</v>
      </c>
      <c r="H17" s="38">
        <f ca="1">INDIRECT("'"&amp;コード表!$C$3&amp;"'!"&amp;コード表!$D79&amp;コード表!H$104)</f>
        <v>84030</v>
      </c>
      <c r="I17" s="38">
        <f ca="1">INDIRECT("'"&amp;コード表!$C$3&amp;"'!"&amp;コード表!$D79&amp;コード表!I$104)</f>
        <v>85672</v>
      </c>
      <c r="J17" s="38">
        <f ca="1">INDIRECT("'"&amp;コード表!$C$3&amp;"'!"&amp;コード表!$D79&amp;コード表!J$104)</f>
        <v>88004</v>
      </c>
      <c r="K17" s="38">
        <f ca="1">INDIRECT("'"&amp;コード表!$C$3&amp;"'!"&amp;コード表!$D79&amp;コード表!K$104)</f>
        <v>91241</v>
      </c>
      <c r="L17" s="38">
        <f ca="1">INDIRECT("'"&amp;コード表!$C$3&amp;"'!"&amp;コード表!$D79&amp;コード表!L$104)</f>
        <v>89250</v>
      </c>
      <c r="M17" s="38">
        <f ca="1">INDIRECT("'"&amp;コード表!$C$3&amp;"'!"&amp;コード表!$D79&amp;コード表!M$104)</f>
        <v>92379</v>
      </c>
      <c r="N17" s="38">
        <f ca="1">INDIRECT("'"&amp;コード表!$C$3&amp;"'!"&amp;コード表!$D79&amp;コード表!N$104)</f>
        <v>104059</v>
      </c>
      <c r="O17" s="38">
        <f ca="1">INDIRECT("'"&amp;コード表!$C$3&amp;"'!"&amp;コード表!$D79&amp;コード表!O$104)</f>
        <v>109760</v>
      </c>
      <c r="R17" s="66" t="s">
        <v>237</v>
      </c>
      <c r="S17" s="65">
        <f ca="1">地域分析!G15</f>
        <v>9.92</v>
      </c>
    </row>
    <row r="18" spans="1:30" ht="16.5" customHeight="1">
      <c r="A18" s="18">
        <v>13</v>
      </c>
      <c r="B18" s="99" t="s">
        <v>63</v>
      </c>
      <c r="C18" s="36">
        <f ca="1">INDIRECT("'"&amp;コード表!$C$3&amp;"'!"&amp;コード表!$D80&amp;コード表!C$104)</f>
        <v>127434</v>
      </c>
      <c r="D18" s="38">
        <f ca="1">INDIRECT("'"&amp;コード表!$C$3&amp;"'!"&amp;コード表!$D80&amp;コード表!D$104)</f>
        <v>126342</v>
      </c>
      <c r="E18" s="38">
        <f ca="1">INDIRECT("'"&amp;コード表!$C$3&amp;"'!"&amp;コード表!$D80&amp;コード表!E$104)</f>
        <v>127855</v>
      </c>
      <c r="F18" s="38">
        <f ca="1">INDIRECT("'"&amp;コード表!$C$3&amp;"'!"&amp;コード表!$D80&amp;コード表!F$104)</f>
        <v>132232</v>
      </c>
      <c r="G18" s="38">
        <f ca="1">INDIRECT("'"&amp;コード表!$C$3&amp;"'!"&amp;コード表!$D80&amp;コード表!G$104)</f>
        <v>131704</v>
      </c>
      <c r="H18" s="38">
        <f ca="1">INDIRECT("'"&amp;コード表!$C$3&amp;"'!"&amp;コード表!$D80&amp;コード表!H$104)</f>
        <v>133522</v>
      </c>
      <c r="I18" s="38">
        <f ca="1">INDIRECT("'"&amp;コード表!$C$3&amp;"'!"&amp;コード表!$D80&amp;コード表!I$104)</f>
        <v>138055</v>
      </c>
      <c r="J18" s="38">
        <f ca="1">INDIRECT("'"&amp;コード表!$C$3&amp;"'!"&amp;コード表!$D80&amp;コード表!J$104)</f>
        <v>137586</v>
      </c>
      <c r="K18" s="38">
        <f ca="1">INDIRECT("'"&amp;コード表!$C$3&amp;"'!"&amp;コード表!$D80&amp;コード表!K$104)</f>
        <v>141894</v>
      </c>
      <c r="L18" s="38">
        <f ca="1">INDIRECT("'"&amp;コード表!$C$3&amp;"'!"&amp;コード表!$D80&amp;コード表!L$104)</f>
        <v>145191</v>
      </c>
      <c r="M18" s="38">
        <f ca="1">INDIRECT("'"&amp;コード表!$C$3&amp;"'!"&amp;コード表!$D80&amp;コード表!M$104)</f>
        <v>151492</v>
      </c>
      <c r="N18" s="38">
        <f ca="1">INDIRECT("'"&amp;コード表!$C$3&amp;"'!"&amp;コード表!$D80&amp;コード表!N$104)</f>
        <v>157814</v>
      </c>
      <c r="O18" s="38">
        <f ca="1">INDIRECT("'"&amp;コード表!$C$3&amp;"'!"&amp;コード表!$D80&amp;コード表!O$104)</f>
        <v>154428</v>
      </c>
      <c r="R18" s="64" t="s">
        <v>238</v>
      </c>
      <c r="S18" s="63">
        <f ca="1">地域分析!G13</f>
        <v>-1.514</v>
      </c>
    </row>
    <row r="19" spans="1:30" ht="16.5" customHeight="1">
      <c r="A19" s="18">
        <v>14</v>
      </c>
      <c r="B19" s="99" t="s">
        <v>64</v>
      </c>
      <c r="C19" s="36">
        <f ca="1">INDIRECT("'"&amp;コード表!$C$3&amp;"'!"&amp;コード表!$D81&amp;コード表!C$104)</f>
        <v>137031</v>
      </c>
      <c r="D19" s="38">
        <f ca="1">INDIRECT("'"&amp;コード表!$C$3&amp;"'!"&amp;コード表!$D81&amp;コード表!D$104)</f>
        <v>145289</v>
      </c>
      <c r="E19" s="38">
        <f ca="1">INDIRECT("'"&amp;コード表!$C$3&amp;"'!"&amp;コード表!$D81&amp;コード表!E$104)</f>
        <v>151901</v>
      </c>
      <c r="F19" s="38">
        <f ca="1">INDIRECT("'"&amp;コード表!$C$3&amp;"'!"&amp;コード表!$D81&amp;コード表!F$104)</f>
        <v>156682</v>
      </c>
      <c r="G19" s="38">
        <f ca="1">INDIRECT("'"&amp;コード表!$C$3&amp;"'!"&amp;コード表!$D81&amp;コード表!G$104)</f>
        <v>171687</v>
      </c>
      <c r="H19" s="38">
        <f ca="1">INDIRECT("'"&amp;コード表!$C$3&amp;"'!"&amp;コード表!$D81&amp;コード表!H$104)</f>
        <v>187600</v>
      </c>
      <c r="I19" s="38">
        <f ca="1">INDIRECT("'"&amp;コード表!$C$3&amp;"'!"&amp;コード表!$D81&amp;コード表!I$104)</f>
        <v>183447</v>
      </c>
      <c r="J19" s="38">
        <f ca="1">INDIRECT("'"&amp;コード表!$C$3&amp;"'!"&amp;コード表!$D81&amp;コード表!J$104)</f>
        <v>179794</v>
      </c>
      <c r="K19" s="38">
        <f ca="1">INDIRECT("'"&amp;コード表!$C$3&amp;"'!"&amp;コード表!$D81&amp;コード表!K$104)</f>
        <v>176920</v>
      </c>
      <c r="L19" s="38">
        <f ca="1">INDIRECT("'"&amp;コード表!$C$3&amp;"'!"&amp;コード表!$D81&amp;コード表!L$104)</f>
        <v>177130</v>
      </c>
      <c r="M19" s="38">
        <f ca="1">INDIRECT("'"&amp;コード表!$C$3&amp;"'!"&amp;コード表!$D81&amp;コード表!M$104)</f>
        <v>195019</v>
      </c>
      <c r="N19" s="38">
        <f ca="1">INDIRECT("'"&amp;コード表!$C$3&amp;"'!"&amp;コード表!$D81&amp;コード表!N$104)</f>
        <v>206413</v>
      </c>
      <c r="O19" s="38">
        <f ca="1">INDIRECT("'"&amp;コード表!$C$3&amp;"'!"&amp;コード表!$D81&amp;コード表!O$104)</f>
        <v>200269</v>
      </c>
      <c r="R19" s="64" t="s">
        <v>239</v>
      </c>
      <c r="S19" s="63">
        <f ca="1">地域分析!G12</f>
        <v>12.901999999999999</v>
      </c>
    </row>
    <row r="20" spans="1:30" ht="16.5" customHeight="1">
      <c r="A20" s="18">
        <v>15</v>
      </c>
      <c r="B20" s="99" t="s">
        <v>65</v>
      </c>
      <c r="C20" s="36">
        <f ca="1">INDIRECT("'"&amp;コード表!$C$3&amp;"'!"&amp;コード表!$D82&amp;コード表!C$104)</f>
        <v>177200</v>
      </c>
      <c r="D20" s="38">
        <f ca="1">INDIRECT("'"&amp;コード表!$C$3&amp;"'!"&amp;コード表!$D82&amp;コード表!D$104)</f>
        <v>175745</v>
      </c>
      <c r="E20" s="38">
        <f ca="1">INDIRECT("'"&amp;コード表!$C$3&amp;"'!"&amp;コード表!$D82&amp;コード表!E$104)</f>
        <v>171258</v>
      </c>
      <c r="F20" s="38">
        <f ca="1">INDIRECT("'"&amp;コード表!$C$3&amp;"'!"&amp;コード表!$D82&amp;コード表!F$104)</f>
        <v>182361</v>
      </c>
      <c r="G20" s="38">
        <f ca="1">INDIRECT("'"&amp;コード表!$C$3&amp;"'!"&amp;コード表!$D82&amp;コード表!G$104)</f>
        <v>189063</v>
      </c>
      <c r="H20" s="38">
        <f ca="1">INDIRECT("'"&amp;コード表!$C$3&amp;"'!"&amp;コード表!$D82&amp;コード表!H$104)</f>
        <v>191886</v>
      </c>
      <c r="I20" s="38">
        <f ca="1">INDIRECT("'"&amp;コード表!$C$3&amp;"'!"&amp;コード表!$D82&amp;コード表!I$104)</f>
        <v>196279</v>
      </c>
      <c r="J20" s="38">
        <f ca="1">INDIRECT("'"&amp;コード表!$C$3&amp;"'!"&amp;コード表!$D82&amp;コード表!J$104)</f>
        <v>201996</v>
      </c>
      <c r="K20" s="38">
        <f ca="1">INDIRECT("'"&amp;コード表!$C$3&amp;"'!"&amp;コード表!$D82&amp;コード表!K$104)</f>
        <v>210237</v>
      </c>
      <c r="L20" s="38">
        <f ca="1">INDIRECT("'"&amp;コード表!$C$3&amp;"'!"&amp;コード表!$D82&amp;コード表!L$104)</f>
        <v>196788</v>
      </c>
      <c r="M20" s="38">
        <f ca="1">INDIRECT("'"&amp;コード表!$C$3&amp;"'!"&amp;コード表!$D82&amp;コード表!M$104)</f>
        <v>201363</v>
      </c>
      <c r="N20" s="38">
        <f ca="1">INDIRECT("'"&amp;コード表!$C$3&amp;"'!"&amp;コード表!$D82&amp;コード表!N$104)</f>
        <v>204635</v>
      </c>
      <c r="O20" s="38">
        <f ca="1">INDIRECT("'"&amp;コード表!$C$3&amp;"'!"&amp;コード表!$D82&amp;コード表!O$104)</f>
        <v>213737</v>
      </c>
      <c r="R20" s="66" t="s">
        <v>240</v>
      </c>
      <c r="S20" s="65">
        <f ca="1">地域分析!G11</f>
        <v>-0.53</v>
      </c>
    </row>
    <row r="21" spans="1:30" ht="16.5" customHeight="1">
      <c r="A21" s="18">
        <v>16</v>
      </c>
      <c r="B21" s="99" t="s">
        <v>66</v>
      </c>
      <c r="C21" s="36">
        <f ca="1">INDIRECT("'"&amp;コード表!$C$3&amp;"'!"&amp;コード表!$D83&amp;コード表!C$104)</f>
        <v>39271</v>
      </c>
      <c r="D21" s="38">
        <f ca="1">INDIRECT("'"&amp;コード表!$C$3&amp;"'!"&amp;コード表!$D83&amp;コード表!D$104)</f>
        <v>39000</v>
      </c>
      <c r="E21" s="38">
        <f ca="1">INDIRECT("'"&amp;コード表!$C$3&amp;"'!"&amp;コード表!$D83&amp;コード表!E$104)</f>
        <v>37562</v>
      </c>
      <c r="F21" s="38">
        <f ca="1">INDIRECT("'"&amp;コード表!$C$3&amp;"'!"&amp;コード表!$D83&amp;コード表!F$104)</f>
        <v>37687</v>
      </c>
      <c r="G21" s="38">
        <f ca="1">INDIRECT("'"&amp;コード表!$C$3&amp;"'!"&amp;コード表!$D83&amp;コード表!G$104)</f>
        <v>38193</v>
      </c>
      <c r="H21" s="38">
        <f ca="1">INDIRECT("'"&amp;コード表!$C$3&amp;"'!"&amp;コード表!$D83&amp;コード表!H$104)</f>
        <v>38196</v>
      </c>
      <c r="I21" s="38">
        <f ca="1">INDIRECT("'"&amp;コード表!$C$3&amp;"'!"&amp;コード表!$D83&amp;コード表!I$104)</f>
        <v>39563</v>
      </c>
      <c r="J21" s="38">
        <f ca="1">INDIRECT("'"&amp;コード表!$C$3&amp;"'!"&amp;コード表!$D83&amp;コード表!J$104)</f>
        <v>40355</v>
      </c>
      <c r="K21" s="38">
        <f ca="1">INDIRECT("'"&amp;コード表!$C$3&amp;"'!"&amp;コード表!$D83&amp;コード表!K$104)</f>
        <v>40731</v>
      </c>
      <c r="L21" s="38">
        <f ca="1">INDIRECT("'"&amp;コード表!$C$3&amp;"'!"&amp;コード表!$D83&amp;コード表!L$104)</f>
        <v>41938</v>
      </c>
      <c r="M21" s="38">
        <f ca="1">INDIRECT("'"&amp;コード表!$C$3&amp;"'!"&amp;コード表!$D83&amp;コード表!M$104)</f>
        <v>43424</v>
      </c>
      <c r="N21" s="38">
        <f ca="1">INDIRECT("'"&amp;コード表!$C$3&amp;"'!"&amp;コード表!$D83&amp;コード表!N$104)</f>
        <v>45359</v>
      </c>
      <c r="O21" s="38">
        <f ca="1">INDIRECT("'"&amp;コード表!$C$3&amp;"'!"&amp;コード表!$D83&amp;コード表!O$104)</f>
        <v>44691</v>
      </c>
      <c r="R21" s="64" t="s">
        <v>241</v>
      </c>
      <c r="S21" s="63">
        <f ca="1">地域分析!G9</f>
        <v>23.454999999999998</v>
      </c>
    </row>
    <row r="22" spans="1:30" ht="16.5" customHeight="1">
      <c r="A22" s="18">
        <v>17</v>
      </c>
      <c r="B22" s="99" t="s">
        <v>67</v>
      </c>
      <c r="C22" s="36">
        <f ca="1">INDIRECT("'"&amp;コード表!$C$3&amp;"'!"&amp;コード表!$D84&amp;コード表!C$104)</f>
        <v>88544</v>
      </c>
      <c r="D22" s="38">
        <f ca="1">INDIRECT("'"&amp;コード表!$C$3&amp;"'!"&amp;コード表!$D84&amp;コード表!D$104)</f>
        <v>92616</v>
      </c>
      <c r="E22" s="38">
        <f ca="1">INDIRECT("'"&amp;コード表!$C$3&amp;"'!"&amp;コード表!$D84&amp;コード表!E$104)</f>
        <v>95875</v>
      </c>
      <c r="F22" s="38">
        <f ca="1">INDIRECT("'"&amp;コード表!$C$3&amp;"'!"&amp;コード表!$D84&amp;コード表!F$104)</f>
        <v>97024</v>
      </c>
      <c r="G22" s="38">
        <f ca="1">INDIRECT("'"&amp;コード表!$C$3&amp;"'!"&amp;コード表!$D84&amp;コード表!G$104)</f>
        <v>105825</v>
      </c>
      <c r="H22" s="38">
        <f ca="1">INDIRECT("'"&amp;コード表!$C$3&amp;"'!"&amp;コード表!$D84&amp;コード表!H$104)</f>
        <v>111251</v>
      </c>
      <c r="I22" s="38">
        <f ca="1">INDIRECT("'"&amp;コード表!$C$3&amp;"'!"&amp;コード表!$D84&amp;コード表!I$104)</f>
        <v>112423</v>
      </c>
      <c r="J22" s="38">
        <f ca="1">INDIRECT("'"&amp;コード表!$C$3&amp;"'!"&amp;コード表!$D84&amp;コード表!J$104)</f>
        <v>116574</v>
      </c>
      <c r="K22" s="38">
        <f ca="1">INDIRECT("'"&amp;コード表!$C$3&amp;"'!"&amp;コード表!$D84&amp;コード表!K$104)</f>
        <v>121250</v>
      </c>
      <c r="L22" s="38">
        <f ca="1">INDIRECT("'"&amp;コード表!$C$3&amp;"'!"&amp;コード表!$D84&amp;コード表!L$104)</f>
        <v>122286</v>
      </c>
      <c r="M22" s="38">
        <f ca="1">INDIRECT("'"&amp;コード表!$C$3&amp;"'!"&amp;コード表!$D84&amp;コード表!M$104)</f>
        <v>128104</v>
      </c>
      <c r="N22" s="38">
        <f ca="1">INDIRECT("'"&amp;コード表!$C$3&amp;"'!"&amp;コード表!$D84&amp;コード表!N$104)</f>
        <v>129223</v>
      </c>
      <c r="O22" s="38">
        <f ca="1">INDIRECT("'"&amp;コード表!$C$3&amp;"'!"&amp;コード表!$D84&amp;コード表!O$104)</f>
        <v>130190</v>
      </c>
      <c r="R22" s="64" t="s">
        <v>242</v>
      </c>
      <c r="S22" s="63">
        <f ca="1">地域分析!G8</f>
        <v>-2.222</v>
      </c>
    </row>
    <row r="23" spans="1:30" ht="16.5" customHeight="1">
      <c r="A23" s="18">
        <v>18</v>
      </c>
      <c r="B23" s="99" t="s">
        <v>68</v>
      </c>
      <c r="C23" s="36">
        <f ca="1">INDIRECT("'"&amp;コード表!$C$3&amp;"'!"&amp;コード表!$D85&amp;コード表!C$104)</f>
        <v>59583</v>
      </c>
      <c r="D23" s="38">
        <f ca="1">INDIRECT("'"&amp;コード表!$C$3&amp;"'!"&amp;コード表!$D85&amp;コード表!D$104)</f>
        <v>61231</v>
      </c>
      <c r="E23" s="38">
        <f ca="1">INDIRECT("'"&amp;コード表!$C$3&amp;"'!"&amp;コード表!$D85&amp;コード表!E$104)</f>
        <v>59828</v>
      </c>
      <c r="F23" s="38">
        <f ca="1">INDIRECT("'"&amp;コード表!$C$3&amp;"'!"&amp;コード表!$D85&amp;コード表!F$104)</f>
        <v>59411</v>
      </c>
      <c r="G23" s="38">
        <f ca="1">INDIRECT("'"&amp;コード表!$C$3&amp;"'!"&amp;コード表!$D85&amp;コード表!G$104)</f>
        <v>59494</v>
      </c>
      <c r="H23" s="38">
        <f ca="1">INDIRECT("'"&amp;コード表!$C$3&amp;"'!"&amp;コード表!$D85&amp;コード表!H$104)</f>
        <v>59088</v>
      </c>
      <c r="I23" s="38">
        <f ca="1">INDIRECT("'"&amp;コード表!$C$3&amp;"'!"&amp;コード表!$D85&amp;コード表!I$104)</f>
        <v>59939</v>
      </c>
      <c r="J23" s="38">
        <f ca="1">INDIRECT("'"&amp;コード表!$C$3&amp;"'!"&amp;コード表!$D85&amp;コード表!J$104)</f>
        <v>58357</v>
      </c>
      <c r="K23" s="38">
        <f ca="1">INDIRECT("'"&amp;コード表!$C$3&amp;"'!"&amp;コード表!$D85&amp;コード表!K$104)</f>
        <v>57503</v>
      </c>
      <c r="L23" s="38">
        <f ca="1">INDIRECT("'"&amp;コード表!$C$3&amp;"'!"&amp;コード表!$D85&amp;コード表!L$104)</f>
        <v>52728</v>
      </c>
      <c r="M23" s="38">
        <f ca="1">INDIRECT("'"&amp;コード表!$C$3&amp;"'!"&amp;コード表!$D85&amp;コード表!M$104)</f>
        <v>58118</v>
      </c>
      <c r="N23" s="38">
        <f ca="1">INDIRECT("'"&amp;コード表!$C$3&amp;"'!"&amp;コード表!$D85&amp;コード表!N$104)</f>
        <v>61166</v>
      </c>
      <c r="O23" s="38">
        <f ca="1">INDIRECT("'"&amp;コード表!$C$3&amp;"'!"&amp;コード表!$D85&amp;コード表!O$104)</f>
        <v>58795</v>
      </c>
      <c r="R23" s="66" t="s">
        <v>243</v>
      </c>
      <c r="S23" s="63">
        <f ca="1">地域分析!G7</f>
        <v>10.656000000000001</v>
      </c>
    </row>
    <row r="24" spans="1:30" ht="16.5" customHeight="1">
      <c r="A24" s="33">
        <v>19</v>
      </c>
      <c r="B24" s="98" t="s">
        <v>70</v>
      </c>
      <c r="C24" s="40">
        <f ca="1">INDIRECT("'"&amp;コード表!$C$3&amp;"'!"&amp;コード表!$D86&amp;コード表!C$104)</f>
        <v>1234924</v>
      </c>
      <c r="D24" s="35">
        <f ca="1">INDIRECT("'"&amp;コード表!$C$3&amp;"'!"&amp;コード表!$D86&amp;コード表!D$104)</f>
        <v>1225302</v>
      </c>
      <c r="E24" s="35">
        <f ca="1">INDIRECT("'"&amp;コード表!$C$3&amp;"'!"&amp;コード表!$D86&amp;コード表!E$104)</f>
        <v>1251218</v>
      </c>
      <c r="F24" s="35">
        <f ca="1">INDIRECT("'"&amp;コード表!$C$3&amp;"'!"&amp;コード表!$D86&amp;コード表!F$104)</f>
        <v>1286381</v>
      </c>
      <c r="G24" s="35">
        <f ca="1">INDIRECT("'"&amp;コード表!$C$3&amp;"'!"&amp;コード表!$D86&amp;コード表!G$104)</f>
        <v>1335673</v>
      </c>
      <c r="H24" s="35">
        <f ca="1">INDIRECT("'"&amp;コード表!$C$3&amp;"'!"&amp;コード表!$D86&amp;コード表!H$104)</f>
        <v>1391925</v>
      </c>
      <c r="I24" s="35">
        <f ca="1">INDIRECT("'"&amp;コード表!$C$3&amp;"'!"&amp;コード表!$D86&amp;コード表!I$104)</f>
        <v>1404194</v>
      </c>
      <c r="J24" s="35">
        <f ca="1">INDIRECT("'"&amp;コード表!$C$3&amp;"'!"&amp;コード表!$D86&amp;コード表!J$104)</f>
        <v>1406460</v>
      </c>
      <c r="K24" s="35">
        <f ca="1">INDIRECT("'"&amp;コード表!$C$3&amp;"'!"&amp;コード表!$D86&amp;コード表!K$104)</f>
        <v>1397664</v>
      </c>
      <c r="L24" s="35">
        <f ca="1">INDIRECT("'"&amp;コード表!$C$3&amp;"'!"&amp;コード表!$D86&amp;コード表!L$104)</f>
        <v>1264621</v>
      </c>
      <c r="M24" s="35">
        <f ca="1">INDIRECT("'"&amp;コード表!$C$3&amp;"'!"&amp;コード表!$D86&amp;コード表!M$104)</f>
        <v>1340219</v>
      </c>
      <c r="N24" s="35">
        <f ca="1">INDIRECT("'"&amp;コード表!$C$3&amp;"'!"&amp;コード表!$D86&amp;コード表!N$104)</f>
        <v>1385466</v>
      </c>
      <c r="O24" s="35">
        <f ca="1">INDIRECT("'"&amp;コード表!$C$3&amp;"'!"&amp;コード表!$D86&amp;コード表!O$104)</f>
        <v>1457769</v>
      </c>
      <c r="R24" s="66" t="s">
        <v>119</v>
      </c>
      <c r="S24" s="67">
        <f ca="1">地域分析!G29</f>
        <v>5.2119999999999997</v>
      </c>
    </row>
    <row r="25" spans="1:30" ht="16.5" customHeight="1" thickBot="1">
      <c r="A25" s="60">
        <v>20</v>
      </c>
      <c r="B25" s="101" t="s">
        <v>100</v>
      </c>
      <c r="C25" s="102">
        <f ca="1">INDIRECT("'"&amp;コード表!$C$3&amp;"'!"&amp;コード表!$D87&amp;コード表!C$104)</f>
        <v>1320</v>
      </c>
      <c r="D25" s="103">
        <f ca="1">INDIRECT("'"&amp;コード表!$C$3&amp;"'!"&amp;コード表!$D87&amp;コード表!D$104)</f>
        <v>1238</v>
      </c>
      <c r="E25" s="103">
        <f ca="1">INDIRECT("'"&amp;コード表!$C$3&amp;"'!"&amp;コード表!$D87&amp;コード表!E$104)</f>
        <v>666</v>
      </c>
      <c r="F25" s="103">
        <f ca="1">INDIRECT("'"&amp;コード表!$C$3&amp;"'!"&amp;コード表!$D87&amp;コード表!F$104)</f>
        <v>-980</v>
      </c>
      <c r="G25" s="103">
        <f ca="1">INDIRECT("'"&amp;コード表!$C$3&amp;"'!"&amp;コード表!$D87&amp;コード表!G$104)</f>
        <v>-5296</v>
      </c>
      <c r="H25" s="103">
        <f ca="1">INDIRECT("'"&amp;コード表!$C$3&amp;"'!"&amp;コード表!$D87&amp;コード表!H$104)</f>
        <v>-7456</v>
      </c>
      <c r="I25" s="103">
        <f ca="1">INDIRECT("'"&amp;コード表!$C$3&amp;"'!"&amp;コード表!$D87&amp;コード表!I$104)</f>
        <v>-7786</v>
      </c>
      <c r="J25" s="103">
        <f ca="1">INDIRECT("'"&amp;コード表!$C$3&amp;"'!"&amp;コード表!$D87&amp;コード表!J$104)</f>
        <v>-8157</v>
      </c>
      <c r="K25" s="103">
        <f ca="1">INDIRECT("'"&amp;コード表!$C$3&amp;"'!"&amp;コード表!$D87&amp;コード表!K$104)</f>
        <v>-10263</v>
      </c>
      <c r="L25" s="103">
        <f ca="1">INDIRECT("'"&amp;コード表!$C$3&amp;"'!"&amp;コード表!$D87&amp;コード表!L$104)</f>
        <v>-8660</v>
      </c>
      <c r="M25" s="103">
        <f ca="1">INDIRECT("'"&amp;コード表!$C$3&amp;"'!"&amp;コード表!$D87&amp;コード表!M$104)</f>
        <v>-10772</v>
      </c>
      <c r="N25" s="103">
        <f ca="1">INDIRECT("'"&amp;コード表!$C$3&amp;"'!"&amp;コード表!$D87&amp;コード表!N$104)</f>
        <v>-9559</v>
      </c>
      <c r="O25" s="103">
        <f ca="1">INDIRECT("'"&amp;コード表!$C$3&amp;"'!"&amp;コード表!$D87&amp;コード表!O$104)</f>
        <v>-10149</v>
      </c>
    </row>
    <row r="26" spans="1:30" ht="16.5" customHeight="1" thickTop="1">
      <c r="A26" s="18">
        <v>21</v>
      </c>
      <c r="B26" s="99" t="s">
        <v>119</v>
      </c>
      <c r="C26" s="36">
        <f ca="1">INDIRECT("'"&amp;コード表!$C$3&amp;"'!"&amp;コード表!$D88&amp;コード表!C$104)</f>
        <v>1236244</v>
      </c>
      <c r="D26" s="38">
        <f ca="1">INDIRECT("'"&amp;コード表!$C$3&amp;"'!"&amp;コード表!$D88&amp;コード表!D$104)</f>
        <v>1226540</v>
      </c>
      <c r="E26" s="38">
        <f ca="1">INDIRECT("'"&amp;コード表!$C$3&amp;"'!"&amp;コード表!$D88&amp;コード表!E$104)</f>
        <v>1251884</v>
      </c>
      <c r="F26" s="38">
        <f ca="1">INDIRECT("'"&amp;コード表!$C$3&amp;"'!"&amp;コード表!$D88&amp;コード表!F$104)</f>
        <v>1285401</v>
      </c>
      <c r="G26" s="38">
        <f ca="1">INDIRECT("'"&amp;コード表!$C$3&amp;"'!"&amp;コード表!$D88&amp;コード表!G$104)</f>
        <v>1330377</v>
      </c>
      <c r="H26" s="38">
        <f ca="1">INDIRECT("'"&amp;コード表!$C$3&amp;"'!"&amp;コード表!$D88&amp;コード表!H$104)</f>
        <v>1384469</v>
      </c>
      <c r="I26" s="38">
        <f ca="1">INDIRECT("'"&amp;コード表!$C$3&amp;"'!"&amp;コード表!$D88&amp;コード表!I$104)</f>
        <v>1396408</v>
      </c>
      <c r="J26" s="38">
        <f ca="1">INDIRECT("'"&amp;コード表!$C$3&amp;"'!"&amp;コード表!$D88&amp;コード表!J$104)</f>
        <v>1398303</v>
      </c>
      <c r="K26" s="38">
        <f ca="1">INDIRECT("'"&amp;コード表!$C$3&amp;"'!"&amp;コード表!$D88&amp;コード表!K$104)</f>
        <v>1387401</v>
      </c>
      <c r="L26" s="38">
        <f ca="1">INDIRECT("'"&amp;コード表!$C$3&amp;"'!"&amp;コード表!$D88&amp;コード表!L$104)</f>
        <v>1255961</v>
      </c>
      <c r="M26" s="38">
        <f ca="1">INDIRECT("'"&amp;コード表!$C$3&amp;"'!"&amp;コード表!$D88&amp;コード表!M$104)</f>
        <v>1329447</v>
      </c>
      <c r="N26" s="38">
        <f ca="1">INDIRECT("'"&amp;コード表!$C$3&amp;"'!"&amp;コード表!$D88&amp;コード表!N$104)</f>
        <v>1375907</v>
      </c>
      <c r="O26" s="38">
        <f ca="1">INDIRECT("'"&amp;コード表!$C$3&amp;"'!"&amp;コード表!$D88&amp;コード表!O$104)</f>
        <v>1447620</v>
      </c>
    </row>
    <row r="27" spans="1:30" ht="16.5" customHeight="1">
      <c r="A27" s="115" t="s">
        <v>158</v>
      </c>
      <c r="B27" s="116" t="s">
        <v>72</v>
      </c>
      <c r="C27" s="117">
        <f ca="1">INDIRECT("'"&amp;コード表!$C$3&amp;"'!"&amp;コード表!$D89&amp;コード表!C$104)</f>
        <v>1786</v>
      </c>
      <c r="D27" s="48">
        <f ca="1">INDIRECT("'"&amp;コード表!$C$3&amp;"'!"&amp;コード表!$D89&amp;コード表!D$104)</f>
        <v>2041</v>
      </c>
      <c r="E27" s="48">
        <f ca="1">INDIRECT("'"&amp;コード表!$C$3&amp;"'!"&amp;コード表!$D89&amp;コード表!E$104)</f>
        <v>2038</v>
      </c>
      <c r="F27" s="48">
        <f ca="1">INDIRECT("'"&amp;コード表!$C$3&amp;"'!"&amp;コード表!$D89&amp;コード表!F$104)</f>
        <v>2026</v>
      </c>
      <c r="G27" s="48">
        <f ca="1">INDIRECT("'"&amp;コード表!$C$3&amp;"'!"&amp;コード表!$D89&amp;コード表!G$104)</f>
        <v>2600</v>
      </c>
      <c r="H27" s="48">
        <f ca="1">INDIRECT("'"&amp;コード表!$C$3&amp;"'!"&amp;コード表!$D89&amp;コード表!H$104)</f>
        <v>2618</v>
      </c>
      <c r="I27" s="48">
        <f ca="1">INDIRECT("'"&amp;コード表!$C$3&amp;"'!"&amp;コード表!$D89&amp;コード表!I$104)</f>
        <v>2840</v>
      </c>
      <c r="J27" s="48">
        <f ca="1">INDIRECT("'"&amp;コード表!$C$3&amp;"'!"&amp;コード表!$D89&amp;コード表!J$104)</f>
        <v>2789</v>
      </c>
      <c r="K27" s="48">
        <f ca="1">INDIRECT("'"&amp;コード表!$C$3&amp;"'!"&amp;コード表!$D89&amp;コード表!K$104)</f>
        <v>2600</v>
      </c>
      <c r="L27" s="48">
        <f ca="1">INDIRECT("'"&amp;コード表!$C$3&amp;"'!"&amp;コード表!$D89&amp;コード表!L$104)</f>
        <v>1972</v>
      </c>
      <c r="M27" s="48">
        <f ca="1">INDIRECT("'"&amp;コード表!$C$3&amp;"'!"&amp;コード表!$D89&amp;コード表!M$104)</f>
        <v>2195</v>
      </c>
      <c r="N27" s="48">
        <f ca="1">INDIRECT("'"&amp;コード表!$C$3&amp;"'!"&amp;コード表!$D89&amp;コード表!N$104)</f>
        <v>1939</v>
      </c>
      <c r="O27" s="48">
        <f ca="1">INDIRECT("'"&amp;コード表!$C$3&amp;"'!"&amp;コード表!$D89&amp;コード表!O$104)</f>
        <v>2351</v>
      </c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</row>
    <row r="28" spans="1:30" ht="16.5" customHeight="1">
      <c r="A28" s="118" t="s">
        <v>147</v>
      </c>
      <c r="B28" s="99" t="s">
        <v>73</v>
      </c>
      <c r="C28" s="36">
        <f ca="1">INDIRECT("'"&amp;コード表!$C$3&amp;"'!"&amp;コード表!$D90&amp;コード表!C$104)</f>
        <v>60424</v>
      </c>
      <c r="D28" s="38">
        <f ca="1">INDIRECT("'"&amp;コード表!$C$3&amp;"'!"&amp;コード表!$D90&amp;コード表!D$104)</f>
        <v>63321</v>
      </c>
      <c r="E28" s="38">
        <f ca="1">INDIRECT("'"&amp;コード表!$C$3&amp;"'!"&amp;コード表!$D90&amp;コード表!E$104)</f>
        <v>67287</v>
      </c>
      <c r="F28" s="38">
        <f ca="1">INDIRECT("'"&amp;コード表!$C$3&amp;"'!"&amp;コード表!$D90&amp;コード表!F$104)</f>
        <v>93500</v>
      </c>
      <c r="G28" s="38">
        <f ca="1">INDIRECT("'"&amp;コード表!$C$3&amp;"'!"&amp;コード表!$D90&amp;コード表!G$104)</f>
        <v>101762</v>
      </c>
      <c r="H28" s="38">
        <f ca="1">INDIRECT("'"&amp;コード表!$C$3&amp;"'!"&amp;コード表!$D90&amp;コード表!H$104)</f>
        <v>112248</v>
      </c>
      <c r="I28" s="38">
        <f ca="1">INDIRECT("'"&amp;コード表!$C$3&amp;"'!"&amp;コード表!$D90&amp;コード表!I$104)</f>
        <v>112095</v>
      </c>
      <c r="J28" s="38">
        <f ca="1">INDIRECT("'"&amp;コード表!$C$3&amp;"'!"&amp;コード表!$D90&amp;コード表!J$104)</f>
        <v>106052</v>
      </c>
      <c r="K28" s="38">
        <f ca="1">INDIRECT("'"&amp;コード表!$C$3&amp;"'!"&amp;コード表!$D90&amp;コード表!K$104)</f>
        <v>98817</v>
      </c>
      <c r="L28" s="38">
        <f ca="1">INDIRECT("'"&amp;コード表!$C$3&amp;"'!"&amp;コード表!$D90&amp;コード表!L$104)</f>
        <v>84917</v>
      </c>
      <c r="M28" s="38">
        <f ca="1">INDIRECT("'"&amp;コード表!$C$3&amp;"'!"&amp;コード表!$D90&amp;コード表!M$104)</f>
        <v>110350</v>
      </c>
      <c r="N28" s="38">
        <f ca="1">INDIRECT("'"&amp;コード表!$C$3&amp;"'!"&amp;コード表!$D90&amp;コード表!N$104)</f>
        <v>78006</v>
      </c>
      <c r="O28" s="38">
        <f ca="1">INDIRECT("'"&amp;コード表!$C$3&amp;"'!"&amp;コード表!$D90&amp;コード表!O$104)</f>
        <v>78711</v>
      </c>
      <c r="R28" s="59"/>
      <c r="S28" s="296"/>
      <c r="T28" s="296"/>
      <c r="U28" s="296"/>
      <c r="V28" s="296"/>
      <c r="W28" s="296"/>
      <c r="X28" s="296"/>
      <c r="Y28" s="296"/>
      <c r="Z28" s="296"/>
      <c r="AA28" s="296"/>
      <c r="AB28" s="296"/>
      <c r="AC28" s="296"/>
      <c r="AD28" s="296"/>
    </row>
    <row r="29" spans="1:30" ht="16.5" customHeight="1">
      <c r="A29" s="119" t="s">
        <v>148</v>
      </c>
      <c r="B29" s="100" t="s">
        <v>74</v>
      </c>
      <c r="C29" s="37">
        <f ca="1">INDIRECT("'"&amp;コード表!$C$3&amp;"'!"&amp;コード表!$D91&amp;コード表!C$104)</f>
        <v>1172714</v>
      </c>
      <c r="D29" s="39">
        <f ca="1">INDIRECT("'"&amp;コード表!$C$3&amp;"'!"&amp;コード表!$D91&amp;コード表!D$104)</f>
        <v>1159940</v>
      </c>
      <c r="E29" s="39">
        <f ca="1">INDIRECT("'"&amp;コード表!$C$3&amp;"'!"&amp;コード表!$D91&amp;コード表!E$104)</f>
        <v>1181893</v>
      </c>
      <c r="F29" s="39">
        <f ca="1">INDIRECT("'"&amp;コード表!$C$3&amp;"'!"&amp;コード表!$D91&amp;コード表!F$104)</f>
        <v>1190855</v>
      </c>
      <c r="G29" s="39">
        <f ca="1">INDIRECT("'"&amp;コード表!$C$3&amp;"'!"&amp;コード表!$D91&amp;コード表!G$104)</f>
        <v>1231311</v>
      </c>
      <c r="H29" s="39">
        <f ca="1">INDIRECT("'"&amp;コード表!$C$3&amp;"'!"&amp;コード表!$D91&amp;コード表!H$104)</f>
        <v>1277059</v>
      </c>
      <c r="I29" s="39">
        <f ca="1">INDIRECT("'"&amp;コード表!$C$3&amp;"'!"&amp;コード表!$D91&amp;コード表!I$104)</f>
        <v>1289259</v>
      </c>
      <c r="J29" s="39">
        <f ca="1">INDIRECT("'"&amp;コード表!$C$3&amp;"'!"&amp;コード表!$D91&amp;コード表!J$104)</f>
        <v>1297619</v>
      </c>
      <c r="K29" s="39">
        <f ca="1">INDIRECT("'"&amp;コード表!$C$3&amp;"'!"&amp;コード表!$D91&amp;コード表!K$104)</f>
        <v>1296247</v>
      </c>
      <c r="L29" s="39">
        <f ca="1">INDIRECT("'"&amp;コード表!$C$3&amp;"'!"&amp;コード表!$D91&amp;コード表!L$104)</f>
        <v>1177732</v>
      </c>
      <c r="M29" s="39">
        <f ca="1">INDIRECT("'"&amp;コード表!$C$3&amp;"'!"&amp;コード表!$D91&amp;コード表!M$104)</f>
        <v>1227674</v>
      </c>
      <c r="N29" s="39">
        <f ca="1">INDIRECT("'"&amp;コード表!$C$3&amp;"'!"&amp;コード表!$D91&amp;コード表!N$104)</f>
        <v>1305521</v>
      </c>
      <c r="O29" s="39">
        <f ca="1">INDIRECT("'"&amp;コード表!$C$3&amp;"'!"&amp;コード表!$D91&amp;コード表!O$104)</f>
        <v>1376707</v>
      </c>
      <c r="R29" s="297"/>
      <c r="S29" s="298"/>
      <c r="T29" s="298"/>
      <c r="U29" s="298"/>
      <c r="V29" s="298"/>
      <c r="W29" s="298"/>
      <c r="X29" s="298"/>
      <c r="Y29" s="298"/>
      <c r="Z29" s="298"/>
      <c r="AA29" s="298"/>
      <c r="AB29" s="298"/>
      <c r="AC29" s="298"/>
      <c r="AD29" s="298"/>
    </row>
    <row r="30" spans="1:30" ht="16.5" customHeight="1">
      <c r="A30" s="115"/>
      <c r="B30" s="276" t="s">
        <v>279</v>
      </c>
      <c r="C30" s="48">
        <f ca="1">INDIRECT("'"&amp;コード表!$C$3&amp;"'!"&amp;コード表!$D92&amp;コード表!C$104)</f>
        <v>7346</v>
      </c>
      <c r="D30" s="48">
        <f ca="1">INDIRECT("'"&amp;コード表!$C$3&amp;"'!"&amp;コード表!$D92&amp;コード表!D$104)</f>
        <v>7151</v>
      </c>
      <c r="E30" s="48">
        <f ca="1">INDIRECT("'"&amp;コード表!$C$3&amp;"'!"&amp;コード表!$D92&amp;コード表!E$104)</f>
        <v>7267</v>
      </c>
      <c r="F30" s="48">
        <f ca="1">INDIRECT("'"&amp;コード表!$C$3&amp;"'!"&amp;コード表!$D92&amp;コード表!F$104)</f>
        <v>7301</v>
      </c>
      <c r="G30" s="48">
        <f ca="1">INDIRECT("'"&amp;コード表!$C$3&amp;"'!"&amp;コード表!$D92&amp;コード表!G$104)</f>
        <v>7459</v>
      </c>
      <c r="H30" s="48">
        <f ca="1">INDIRECT("'"&amp;コード表!$C$3&amp;"'!"&amp;コード表!$D92&amp;コード表!H$104)</f>
        <v>7513</v>
      </c>
      <c r="I30" s="48">
        <f ca="1">INDIRECT("'"&amp;コード表!$C$3&amp;"'!"&amp;コード表!$D92&amp;コード表!I$104)</f>
        <v>7472</v>
      </c>
      <c r="J30" s="48">
        <f ca="1">INDIRECT("'"&amp;コード表!$C$3&amp;"'!"&amp;コード表!$D92&amp;コード表!J$104)</f>
        <v>7385</v>
      </c>
      <c r="K30" s="48">
        <f ca="1">INDIRECT("'"&amp;コード表!$C$3&amp;"'!"&amp;コード表!$D92&amp;コード表!K$104)</f>
        <v>7119</v>
      </c>
      <c r="L30" s="48">
        <f ca="1">INDIRECT("'"&amp;コード表!$C$3&amp;"'!"&amp;コード表!$D92&amp;コード表!L$104)</f>
        <v>6478</v>
      </c>
      <c r="M30" s="48">
        <f ca="1">INDIRECT("'"&amp;コード表!$C$3&amp;"'!"&amp;コード表!$D92&amp;コード表!M$104)</f>
        <v>6755</v>
      </c>
      <c r="N30" s="48">
        <f ca="1">INDIRECT("'"&amp;コード表!$C$3&amp;"'!"&amp;コード表!$D92&amp;コード表!N$104)</f>
        <v>7006</v>
      </c>
      <c r="O30" s="48">
        <f ca="1">INDIRECT("'"&amp;コード表!$C$3&amp;"'!"&amp;コード表!$D92&amp;コード表!O$104)</f>
        <v>7218</v>
      </c>
      <c r="R30" s="297"/>
      <c r="S30" s="298"/>
      <c r="T30" s="298"/>
      <c r="U30" s="298"/>
      <c r="V30" s="298"/>
      <c r="W30" s="298"/>
      <c r="X30" s="298"/>
      <c r="Y30" s="298"/>
      <c r="Z30" s="298"/>
      <c r="AA30" s="298"/>
      <c r="AB30" s="298"/>
      <c r="AC30" s="298"/>
      <c r="AD30" s="298"/>
    </row>
    <row r="31" spans="1:30" ht="16.5" customHeight="1">
      <c r="A31" s="119"/>
      <c r="B31" s="277" t="s">
        <v>280</v>
      </c>
      <c r="C31" s="39">
        <f ca="1">INDIRECT("'"&amp;コード表!$C$3&amp;"'!"&amp;コード表!$D93&amp;コード表!C$104)</f>
        <v>1255434.55728229</v>
      </c>
      <c r="D31" s="39">
        <f ca="1">INDIRECT("'"&amp;コード表!$C$3&amp;"'!"&amp;コード表!$D93&amp;コード表!D$104)</f>
        <v>1253591.4984146883</v>
      </c>
      <c r="E31" s="39">
        <f ca="1">INDIRECT("'"&amp;コード表!$C$3&amp;"'!"&amp;コード表!$D93&amp;コード表!E$104)</f>
        <v>1290520.4825186261</v>
      </c>
      <c r="F31" s="39">
        <f ca="1">INDIRECT("'"&amp;コード表!$C$3&amp;"'!"&amp;コード表!$D93&amp;コード表!F$104)</f>
        <v>1297097.3114243841</v>
      </c>
      <c r="G31" s="39">
        <f ca="1">INDIRECT("'"&amp;コード表!$C$3&amp;"'!"&amp;コード表!$D93&amp;コード表!G$104)</f>
        <v>1332618.3499908466</v>
      </c>
      <c r="H31" s="39">
        <f ca="1">INDIRECT("'"&amp;コード表!$C$3&amp;"'!"&amp;コード表!$D93&amp;コード表!H$104)</f>
        <v>1374665.9967370799</v>
      </c>
      <c r="I31" s="39">
        <f ca="1">INDIRECT("'"&amp;コード表!$C$3&amp;"'!"&amp;コード表!$D93&amp;コード表!I$104)</f>
        <v>1385379.7872347727</v>
      </c>
      <c r="J31" s="39">
        <f ca="1">INDIRECT("'"&amp;コード表!$C$3&amp;"'!"&amp;コード表!$D93&amp;コード表!J$104)</f>
        <v>1378910.8291402764</v>
      </c>
      <c r="K31" s="39">
        <f ca="1">INDIRECT("'"&amp;コード表!$C$3&amp;"'!"&amp;コード表!$D93&amp;コード表!K$104)</f>
        <v>1356575.9860659291</v>
      </c>
      <c r="L31" s="39">
        <f ca="1">INDIRECT("'"&amp;コード表!$C$3&amp;"'!"&amp;コード表!$D93&amp;コード表!L$104)</f>
        <v>1226153.2117377874</v>
      </c>
      <c r="M31" s="39">
        <f ca="1">INDIRECT("'"&amp;コード表!$C$3&amp;"'!"&amp;コード表!$D93&amp;コード表!M$104)</f>
        <v>1291097.6893290135</v>
      </c>
      <c r="N31" s="39">
        <f ca="1">INDIRECT("'"&amp;コード表!$C$3&amp;"'!"&amp;コード表!$D93&amp;コード表!N$104)</f>
        <v>1315522.1725521765</v>
      </c>
      <c r="O31" s="39">
        <f ca="1">INDIRECT("'"&amp;コード表!$C$3&amp;"'!"&amp;コード表!$D93&amp;コード表!O$104)</f>
        <v>1349130.9025485108</v>
      </c>
      <c r="R31" s="59"/>
      <c r="S31" s="299"/>
      <c r="T31" s="299"/>
      <c r="U31" s="299"/>
      <c r="V31" s="299"/>
      <c r="W31" s="299"/>
      <c r="X31" s="299"/>
      <c r="Y31" s="299"/>
      <c r="Z31" s="299"/>
      <c r="AA31" s="299"/>
      <c r="AB31" s="299"/>
      <c r="AC31" s="299"/>
      <c r="AD31" s="299"/>
    </row>
    <row r="32" spans="1:30" ht="16.5" customHeight="1"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</row>
    <row r="33" spans="1:15" ht="16.5" customHeight="1">
      <c r="A33" s="83"/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6.5" customHeight="1">
      <c r="A34" s="110" t="str">
        <f>A$2</f>
        <v>那　　覇</v>
      </c>
      <c r="B34" s="157" t="str">
        <f>B$2</f>
        <v>那 覇 市</v>
      </c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</row>
    <row r="35" spans="1:15" ht="16.5" customHeight="1">
      <c r="A35" s="34" t="s">
        <v>270</v>
      </c>
      <c r="B35" s="96"/>
      <c r="C35" s="97"/>
      <c r="D35" s="97"/>
      <c r="E35" s="97"/>
      <c r="F35" s="2"/>
      <c r="G35" s="2"/>
      <c r="H35" s="1"/>
      <c r="I35" s="2"/>
      <c r="J35" s="2"/>
      <c r="K35" s="2"/>
      <c r="L35" s="2"/>
      <c r="M35" s="2"/>
      <c r="N35" s="2"/>
      <c r="O35" s="2"/>
    </row>
    <row r="36" spans="1:15" ht="16.5" customHeight="1">
      <c r="A36" s="6"/>
      <c r="B36" s="7"/>
      <c r="C36" s="27">
        <f>C$4</f>
        <v>23</v>
      </c>
      <c r="D36" s="27">
        <f t="shared" ref="D36:O36" si="5">D$4</f>
        <v>24</v>
      </c>
      <c r="E36" s="27">
        <f t="shared" si="5"/>
        <v>25</v>
      </c>
      <c r="F36" s="27">
        <f t="shared" si="5"/>
        <v>26</v>
      </c>
      <c r="G36" s="27">
        <f t="shared" si="5"/>
        <v>27</v>
      </c>
      <c r="H36" s="27">
        <f t="shared" si="5"/>
        <v>28</v>
      </c>
      <c r="I36" s="27">
        <f t="shared" si="5"/>
        <v>29</v>
      </c>
      <c r="J36" s="27">
        <f t="shared" si="5"/>
        <v>30</v>
      </c>
      <c r="K36" s="27">
        <f t="shared" si="5"/>
        <v>1</v>
      </c>
      <c r="L36" s="27">
        <f t="shared" si="5"/>
        <v>2</v>
      </c>
      <c r="M36" s="27">
        <f t="shared" si="5"/>
        <v>3</v>
      </c>
      <c r="N36" s="27">
        <f t="shared" si="5"/>
        <v>4</v>
      </c>
      <c r="O36" s="27">
        <f t="shared" si="5"/>
        <v>5</v>
      </c>
    </row>
    <row r="37" spans="1:15" ht="16.5" customHeight="1">
      <c r="A37" s="12"/>
      <c r="B37" s="13"/>
      <c r="C37" s="28">
        <f>C$5</f>
        <v>2011</v>
      </c>
      <c r="D37" s="28">
        <f t="shared" ref="D37:O37" si="6">D$5</f>
        <v>2012</v>
      </c>
      <c r="E37" s="28">
        <f t="shared" si="6"/>
        <v>2013</v>
      </c>
      <c r="F37" s="28">
        <f t="shared" si="6"/>
        <v>2014</v>
      </c>
      <c r="G37" s="28">
        <f t="shared" si="6"/>
        <v>2015</v>
      </c>
      <c r="H37" s="28">
        <f t="shared" si="6"/>
        <v>2016</v>
      </c>
      <c r="I37" s="28">
        <f t="shared" si="6"/>
        <v>2017</v>
      </c>
      <c r="J37" s="28">
        <f t="shared" si="6"/>
        <v>2018</v>
      </c>
      <c r="K37" s="28">
        <f t="shared" si="6"/>
        <v>2019</v>
      </c>
      <c r="L37" s="28">
        <f t="shared" si="6"/>
        <v>2020</v>
      </c>
      <c r="M37" s="28">
        <f t="shared" si="6"/>
        <v>2021</v>
      </c>
      <c r="N37" s="28">
        <f t="shared" si="6"/>
        <v>2022</v>
      </c>
      <c r="O37" s="28">
        <f t="shared" si="6"/>
        <v>2023</v>
      </c>
    </row>
    <row r="38" spans="1:15" ht="16.5" customHeight="1">
      <c r="A38" s="114" t="s">
        <v>159</v>
      </c>
      <c r="B38" s="23" t="s">
        <v>51</v>
      </c>
      <c r="C38" s="158"/>
      <c r="D38" s="31">
        <f t="shared" ref="D38:K38" ca="1" si="7">IF(C6="X","X",IF(D6="X","X",IF(C6&lt;&gt;0,ROUND((D6-C6)/ABS(C6)*100,3),"- ")))</f>
        <v>0</v>
      </c>
      <c r="E38" s="31">
        <f t="shared" ca="1" si="7"/>
        <v>-11.526</v>
      </c>
      <c r="F38" s="31">
        <f t="shared" ca="1" si="7"/>
        <v>-2.4649999999999999</v>
      </c>
      <c r="G38" s="31">
        <f t="shared" ca="1" si="7"/>
        <v>-8.6639999999999997</v>
      </c>
      <c r="H38" s="31">
        <f t="shared" ca="1" si="7"/>
        <v>26.481999999999999</v>
      </c>
      <c r="I38" s="31">
        <f t="shared" ca="1" si="7"/>
        <v>-6.875</v>
      </c>
      <c r="J38" s="31">
        <f t="shared" ca="1" si="7"/>
        <v>-5.3689999999999998</v>
      </c>
      <c r="K38" s="31">
        <f t="shared" ca="1" si="7"/>
        <v>10.284000000000001</v>
      </c>
      <c r="L38" s="31">
        <f t="shared" ref="L38:M61" ca="1" si="8">IF(K6="X","X",IF(L6="X","X",IF(K6&lt;&gt;0,ROUND((L6-K6)/ABS(K6)*100,3),"- ")))</f>
        <v>-8.6820000000000004</v>
      </c>
      <c r="M38" s="31">
        <f t="shared" ca="1" si="8"/>
        <v>11.62</v>
      </c>
      <c r="N38" s="31">
        <f t="shared" ref="N38:N63" ca="1" si="9">IF(M6="X","X",IF(N6="X","X",IF(M6&lt;&gt;0,ROUND((N6-M6)/ABS(M6)*100,3),"- ")))</f>
        <v>-23.027999999999999</v>
      </c>
      <c r="O38" s="31">
        <f t="shared" ref="O38:O63" ca="1" si="10">IF(N6="X","X",IF(O6="X","X",IF(N6&lt;&gt;0,ROUND((O6-N6)/ABS(N6)*100,3),"- ")))</f>
        <v>10.656000000000001</v>
      </c>
    </row>
    <row r="39" spans="1:15" ht="16.5" customHeight="1">
      <c r="A39" s="114" t="s">
        <v>3</v>
      </c>
      <c r="B39" s="99" t="s">
        <v>52</v>
      </c>
      <c r="C39" s="159"/>
      <c r="D39" s="30">
        <f t="shared" ref="D39:K39" ca="1" si="11">IF(C7="X","X",IF(D7="X","X",IF(C7&lt;&gt;0,ROUND((D7-C7)/ABS(C7)*100,3),"- ")))</f>
        <v>0</v>
      </c>
      <c r="E39" s="30">
        <f t="shared" ca="1" si="11"/>
        <v>17.390999999999998</v>
      </c>
      <c r="F39" s="30">
        <f t="shared" ca="1" si="11"/>
        <v>18.518999999999998</v>
      </c>
      <c r="G39" s="30">
        <f t="shared" ca="1" si="11"/>
        <v>0</v>
      </c>
      <c r="H39" s="30">
        <f t="shared" ca="1" si="11"/>
        <v>9.375</v>
      </c>
      <c r="I39" s="30">
        <f t="shared" ca="1" si="11"/>
        <v>-2.8570000000000002</v>
      </c>
      <c r="J39" s="30">
        <f t="shared" ca="1" si="11"/>
        <v>5.8819999999999997</v>
      </c>
      <c r="K39" s="30">
        <f t="shared" ca="1" si="11"/>
        <v>27.777999999999999</v>
      </c>
      <c r="L39" s="30">
        <f t="shared" ca="1" si="8"/>
        <v>13.042999999999999</v>
      </c>
      <c r="M39" s="30">
        <f t="shared" ca="1" si="8"/>
        <v>1.923</v>
      </c>
      <c r="N39" s="30">
        <f t="shared" ca="1" si="9"/>
        <v>-15.093999999999999</v>
      </c>
      <c r="O39" s="30">
        <f t="shared" ca="1" si="10"/>
        <v>-2.222</v>
      </c>
    </row>
    <row r="40" spans="1:15" ht="16.5" customHeight="1">
      <c r="A40" s="114" t="s">
        <v>5</v>
      </c>
      <c r="B40" s="99" t="s">
        <v>53</v>
      </c>
      <c r="C40" s="159"/>
      <c r="D40" s="30">
        <f t="shared" ref="D40:K40" ca="1" si="12">IF(C8="X","X",IF(D8="X","X",IF(C8&lt;&gt;0,ROUND((D8-C8)/ABS(C8)*100,3),"- ")))</f>
        <v>17.684000000000001</v>
      </c>
      <c r="E40" s="30">
        <f t="shared" ca="1" si="12"/>
        <v>1.768</v>
      </c>
      <c r="F40" s="30">
        <f t="shared" ca="1" si="12"/>
        <v>-0.57899999999999996</v>
      </c>
      <c r="G40" s="30">
        <f t="shared" ca="1" si="12"/>
        <v>34.828000000000003</v>
      </c>
      <c r="H40" s="30">
        <f t="shared" ca="1" si="12"/>
        <v>-2.246</v>
      </c>
      <c r="I40" s="30">
        <f t="shared" ca="1" si="12"/>
        <v>10.826000000000001</v>
      </c>
      <c r="J40" s="30">
        <f t="shared" ca="1" si="12"/>
        <v>-1.4750000000000001</v>
      </c>
      <c r="K40" s="30">
        <f t="shared" ca="1" si="12"/>
        <v>-9.2270000000000003</v>
      </c>
      <c r="L40" s="30">
        <f t="shared" ca="1" si="8"/>
        <v>-27.062000000000001</v>
      </c>
      <c r="M40" s="30">
        <f t="shared" ca="1" si="8"/>
        <v>11.553000000000001</v>
      </c>
      <c r="N40" s="30">
        <f t="shared" ca="1" si="9"/>
        <v>-9.5890000000000004</v>
      </c>
      <c r="O40" s="30">
        <f t="shared" ca="1" si="10"/>
        <v>23.454999999999998</v>
      </c>
    </row>
    <row r="41" spans="1:15" ht="16.5" customHeight="1">
      <c r="A41" s="114" t="s">
        <v>7</v>
      </c>
      <c r="B41" s="23" t="s">
        <v>54</v>
      </c>
      <c r="C41" s="159"/>
      <c r="D41" s="30">
        <f t="shared" ref="D41:K41" ca="1" si="13">IF(C9="X","X",IF(D9="X","X",IF(C9&lt;&gt;0,ROUND((D9-C9)/ABS(C9)*100,3),"- ")))</f>
        <v>4.4690000000000003</v>
      </c>
      <c r="E41" s="30">
        <f t="shared" ca="1" si="13"/>
        <v>27.273</v>
      </c>
      <c r="F41" s="30">
        <f t="shared" ca="1" si="13"/>
        <v>21.007999999999999</v>
      </c>
      <c r="G41" s="30">
        <f t="shared" ca="1" si="13"/>
        <v>31.597000000000001</v>
      </c>
      <c r="H41" s="30">
        <f t="shared" ca="1" si="13"/>
        <v>8.9710000000000001</v>
      </c>
      <c r="I41" s="30">
        <f t="shared" ca="1" si="13"/>
        <v>15.981</v>
      </c>
      <c r="J41" s="30">
        <f t="shared" ca="1" si="13"/>
        <v>8.3510000000000009</v>
      </c>
      <c r="K41" s="30">
        <f t="shared" ca="1" si="13"/>
        <v>7.7069999999999999</v>
      </c>
      <c r="L41" s="30">
        <f t="shared" ca="1" si="8"/>
        <v>7.5129999999999999</v>
      </c>
      <c r="M41" s="30">
        <f t="shared" ca="1" si="8"/>
        <v>0.83199999999999996</v>
      </c>
      <c r="N41" s="30">
        <f t="shared" ca="1" si="9"/>
        <v>24.587</v>
      </c>
      <c r="O41" s="30">
        <f t="shared" ca="1" si="10"/>
        <v>-0.53</v>
      </c>
    </row>
    <row r="42" spans="1:15" ht="16.5" customHeight="1">
      <c r="A42" s="114" t="s">
        <v>9</v>
      </c>
      <c r="B42" s="99" t="s">
        <v>55</v>
      </c>
      <c r="C42" s="159"/>
      <c r="D42" s="30">
        <f t="shared" ref="D42:K42" ca="1" si="14">IF(C10="X","X",IF(D10="X","X",IF(C10&lt;&gt;0,ROUND((D10-C10)/ABS(C10)*100,3),"- ")))</f>
        <v>-4.4779999999999998</v>
      </c>
      <c r="E42" s="30">
        <f t="shared" ca="1" si="14"/>
        <v>1.5109999999999999</v>
      </c>
      <c r="F42" s="30">
        <f t="shared" ca="1" si="14"/>
        <v>-1.8520000000000001</v>
      </c>
      <c r="G42" s="30">
        <f t="shared" ca="1" si="14"/>
        <v>-7.3540000000000001</v>
      </c>
      <c r="H42" s="30">
        <f t="shared" ca="1" si="14"/>
        <v>-21.145</v>
      </c>
      <c r="I42" s="30">
        <f t="shared" ca="1" si="14"/>
        <v>35.158999999999999</v>
      </c>
      <c r="J42" s="30">
        <f t="shared" ca="1" si="14"/>
        <v>4.8099999999999996</v>
      </c>
      <c r="K42" s="30">
        <f t="shared" ca="1" si="14"/>
        <v>-18.507000000000001</v>
      </c>
      <c r="L42" s="30">
        <f t="shared" ca="1" si="8"/>
        <v>25.876999999999999</v>
      </c>
      <c r="M42" s="30">
        <f t="shared" ca="1" si="8"/>
        <v>-7.7489999999999997</v>
      </c>
      <c r="N42" s="30">
        <f t="shared" ca="1" si="9"/>
        <v>-1.579</v>
      </c>
      <c r="O42" s="30">
        <f t="shared" ca="1" si="10"/>
        <v>12.901999999999999</v>
      </c>
    </row>
    <row r="43" spans="1:15" ht="16.5" customHeight="1">
      <c r="A43" s="114" t="s">
        <v>11</v>
      </c>
      <c r="B43" s="99" t="s">
        <v>57</v>
      </c>
      <c r="C43" s="159"/>
      <c r="D43" s="30">
        <f t="shared" ref="D43:K43" ca="1" si="15">IF(C11="X","X",IF(D11="X","X",IF(C11&lt;&gt;0,ROUND((D11-C11)/ABS(C11)*100,3),"- ")))</f>
        <v>7.6559999999999997</v>
      </c>
      <c r="E43" s="30">
        <f t="shared" ca="1" si="15"/>
        <v>7.4850000000000003</v>
      </c>
      <c r="F43" s="30">
        <f t="shared" ca="1" si="15"/>
        <v>49.585999999999999</v>
      </c>
      <c r="G43" s="30">
        <f t="shared" ca="1" si="15"/>
        <v>11.5</v>
      </c>
      <c r="H43" s="30">
        <f t="shared" ca="1" si="15"/>
        <v>14.742000000000001</v>
      </c>
      <c r="I43" s="30">
        <f t="shared" ca="1" si="15"/>
        <v>-3.62</v>
      </c>
      <c r="J43" s="30">
        <f t="shared" ca="1" si="15"/>
        <v>-6.843</v>
      </c>
      <c r="K43" s="30">
        <f t="shared" ca="1" si="15"/>
        <v>-5.1189999999999998</v>
      </c>
      <c r="L43" s="30">
        <f t="shared" ca="1" si="8"/>
        <v>-19.448</v>
      </c>
      <c r="M43" s="30">
        <f t="shared" ca="1" si="8"/>
        <v>37.933</v>
      </c>
      <c r="N43" s="30">
        <f t="shared" ca="1" si="9"/>
        <v>-33.453000000000003</v>
      </c>
      <c r="O43" s="30">
        <f t="shared" ca="1" si="10"/>
        <v>-1.514</v>
      </c>
    </row>
    <row r="44" spans="1:15" ht="16.5" customHeight="1">
      <c r="A44" s="114" t="s">
        <v>13</v>
      </c>
      <c r="B44" s="99" t="s">
        <v>56</v>
      </c>
      <c r="C44" s="159"/>
      <c r="D44" s="30">
        <f t="shared" ref="D44:K44" ca="1" si="16">IF(C12="X","X",IF(D12="X","X",IF(C12&lt;&gt;0,ROUND((D12-C12)/ABS(C12)*100,3),"- ")))</f>
        <v>-2.012</v>
      </c>
      <c r="E44" s="30">
        <f t="shared" ca="1" si="16"/>
        <v>-4.2830000000000004</v>
      </c>
      <c r="F44" s="30">
        <f t="shared" ca="1" si="16"/>
        <v>23.094999999999999</v>
      </c>
      <c r="G44" s="30">
        <f t="shared" ca="1" si="16"/>
        <v>0.58799999999999997</v>
      </c>
      <c r="H44" s="30">
        <f t="shared" ca="1" si="16"/>
        <v>10.166</v>
      </c>
      <c r="I44" s="30">
        <f t="shared" ca="1" si="16"/>
        <v>-2.5960000000000001</v>
      </c>
      <c r="J44" s="30">
        <f t="shared" ca="1" si="16"/>
        <v>0.33500000000000002</v>
      </c>
      <c r="K44" s="30">
        <f t="shared" ca="1" si="16"/>
        <v>6.78</v>
      </c>
      <c r="L44" s="30">
        <f t="shared" ca="1" si="8"/>
        <v>-0.84499999999999997</v>
      </c>
      <c r="M44" s="30">
        <f t="shared" ca="1" si="8"/>
        <v>2.1480000000000001</v>
      </c>
      <c r="N44" s="30">
        <f t="shared" ca="1" si="9"/>
        <v>-20.247</v>
      </c>
      <c r="O44" s="30">
        <f t="shared" ca="1" si="10"/>
        <v>9.92</v>
      </c>
    </row>
    <row r="45" spans="1:15" ht="16.5" customHeight="1">
      <c r="A45" s="114" t="s">
        <v>15</v>
      </c>
      <c r="B45" s="99" t="s">
        <v>58</v>
      </c>
      <c r="C45" s="159"/>
      <c r="D45" s="30">
        <f t="shared" ref="D45:K45" ca="1" si="17">IF(C13="X","X",IF(D13="X","X",IF(C13&lt;&gt;0,ROUND((D13-C13)/ABS(C13)*100,3),"- ")))</f>
        <v>1.839</v>
      </c>
      <c r="E45" s="30">
        <f t="shared" ca="1" si="17"/>
        <v>3.343</v>
      </c>
      <c r="F45" s="30">
        <f t="shared" ca="1" si="17"/>
        <v>-1.2050000000000001</v>
      </c>
      <c r="G45" s="30">
        <f t="shared" ca="1" si="17"/>
        <v>0.70699999999999996</v>
      </c>
      <c r="H45" s="30">
        <f t="shared" ca="1" si="17"/>
        <v>-0.97499999999999998</v>
      </c>
      <c r="I45" s="30">
        <f t="shared" ca="1" si="17"/>
        <v>3.3340000000000001</v>
      </c>
      <c r="J45" s="30">
        <f t="shared" ca="1" si="17"/>
        <v>-0.755</v>
      </c>
      <c r="K45" s="30">
        <f t="shared" ca="1" si="17"/>
        <v>-2.766</v>
      </c>
      <c r="L45" s="30">
        <f t="shared" ca="1" si="8"/>
        <v>-6.95</v>
      </c>
      <c r="M45" s="30">
        <f t="shared" ca="1" si="8"/>
        <v>6.1479999999999997</v>
      </c>
      <c r="N45" s="30">
        <f t="shared" ca="1" si="9"/>
        <v>3.19</v>
      </c>
      <c r="O45" s="30">
        <f t="shared" ca="1" si="10"/>
        <v>3.89</v>
      </c>
    </row>
    <row r="46" spans="1:15" ht="16.5" customHeight="1">
      <c r="A46" s="114" t="s">
        <v>16</v>
      </c>
      <c r="B46" s="99" t="s">
        <v>59</v>
      </c>
      <c r="C46" s="159"/>
      <c r="D46" s="30">
        <f t="shared" ref="D46:K46" ca="1" si="18">IF(C14="X","X",IF(D14="X","X",IF(C14&lt;&gt;0,ROUND((D14-C14)/ABS(C14)*100,3),"- ")))</f>
        <v>-10.154999999999999</v>
      </c>
      <c r="E46" s="30">
        <f t="shared" ca="1" si="18"/>
        <v>9.9649999999999999</v>
      </c>
      <c r="F46" s="30">
        <f t="shared" ca="1" si="18"/>
        <v>-4.1550000000000002</v>
      </c>
      <c r="G46" s="30">
        <f t="shared" ca="1" si="18"/>
        <v>3.0110000000000001</v>
      </c>
      <c r="H46" s="30">
        <f t="shared" ca="1" si="18"/>
        <v>9.2889999999999997</v>
      </c>
      <c r="I46" s="30">
        <f t="shared" ca="1" si="18"/>
        <v>-0.59499999999999997</v>
      </c>
      <c r="J46" s="30">
        <f t="shared" ca="1" si="18"/>
        <v>-0.17299999999999999</v>
      </c>
      <c r="K46" s="30">
        <f t="shared" ca="1" si="18"/>
        <v>-3.9060000000000001</v>
      </c>
      <c r="L46" s="30">
        <f t="shared" ca="1" si="8"/>
        <v>-49.494</v>
      </c>
      <c r="M46" s="30">
        <f t="shared" ca="1" si="8"/>
        <v>6.3949999999999996</v>
      </c>
      <c r="N46" s="30">
        <f t="shared" ca="1" si="9"/>
        <v>36.792000000000002</v>
      </c>
      <c r="O46" s="30">
        <f t="shared" ca="1" si="10"/>
        <v>40.837000000000003</v>
      </c>
    </row>
    <row r="47" spans="1:15" ht="16.5" customHeight="1">
      <c r="A47" s="18">
        <v>10</v>
      </c>
      <c r="B47" s="99" t="s">
        <v>60</v>
      </c>
      <c r="C47" s="159"/>
      <c r="D47" s="30">
        <f t="shared" ref="D47:K47" ca="1" si="19">IF(C15="X","X",IF(D15="X","X",IF(C15&lt;&gt;0,ROUND((D15-C15)/ABS(C15)*100,3),"- ")))</f>
        <v>-2.6429999999999998</v>
      </c>
      <c r="E47" s="30">
        <f t="shared" ca="1" si="19"/>
        <v>2.2690000000000001</v>
      </c>
      <c r="F47" s="30">
        <f t="shared" ca="1" si="19"/>
        <v>-1.7130000000000001</v>
      </c>
      <c r="G47" s="30">
        <f t="shared" ca="1" si="19"/>
        <v>1.8520000000000001</v>
      </c>
      <c r="H47" s="30">
        <f t="shared" ca="1" si="19"/>
        <v>13.457000000000001</v>
      </c>
      <c r="I47" s="30">
        <f t="shared" ca="1" si="19"/>
        <v>3.6539999999999999</v>
      </c>
      <c r="J47" s="30">
        <f t="shared" ca="1" si="19"/>
        <v>-0.19500000000000001</v>
      </c>
      <c r="K47" s="30">
        <f t="shared" ca="1" si="19"/>
        <v>-7.0609999999999999</v>
      </c>
      <c r="L47" s="30">
        <f t="shared" ca="1" si="8"/>
        <v>-42.148000000000003</v>
      </c>
      <c r="M47" s="30">
        <f t="shared" ca="1" si="8"/>
        <v>-3.177</v>
      </c>
      <c r="N47" s="30">
        <f t="shared" ca="1" si="9"/>
        <v>49.56</v>
      </c>
      <c r="O47" s="30">
        <f t="shared" ca="1" si="10"/>
        <v>33.957999999999998</v>
      </c>
    </row>
    <row r="48" spans="1:15" ht="16.5" customHeight="1">
      <c r="A48" s="18">
        <v>11</v>
      </c>
      <c r="B48" s="99" t="s">
        <v>61</v>
      </c>
      <c r="C48" s="159"/>
      <c r="D48" s="30">
        <f t="shared" ref="D48:K48" ca="1" si="20">IF(C16="X","X",IF(D16="X","X",IF(C16&lt;&gt;0,ROUND((D16-C16)/ABS(C16)*100,3),"- ")))</f>
        <v>-5.7389999999999999</v>
      </c>
      <c r="E48" s="30">
        <f t="shared" ca="1" si="20"/>
        <v>-1.978</v>
      </c>
      <c r="F48" s="30">
        <f t="shared" ca="1" si="20"/>
        <v>-8.1359999999999992</v>
      </c>
      <c r="G48" s="30">
        <f t="shared" ca="1" si="20"/>
        <v>4.0750000000000002</v>
      </c>
      <c r="H48" s="30">
        <f t="shared" ca="1" si="20"/>
        <v>6.1340000000000003</v>
      </c>
      <c r="I48" s="30">
        <f t="shared" ca="1" si="20"/>
        <v>-1.8580000000000001</v>
      </c>
      <c r="J48" s="30">
        <f t="shared" ca="1" si="20"/>
        <v>2.14</v>
      </c>
      <c r="K48" s="30">
        <f t="shared" ca="1" si="20"/>
        <v>-6.4349999999999996</v>
      </c>
      <c r="L48" s="30">
        <f t="shared" ca="1" si="8"/>
        <v>-2.9000000000000001E-2</v>
      </c>
      <c r="M48" s="30">
        <f t="shared" ca="1" si="8"/>
        <v>-5.7539999999999996</v>
      </c>
      <c r="N48" s="30">
        <f t="shared" ca="1" si="9"/>
        <v>-2.2130000000000001</v>
      </c>
      <c r="O48" s="30">
        <f t="shared" ca="1" si="10"/>
        <v>1.1539999999999999</v>
      </c>
    </row>
    <row r="49" spans="1:15" ht="16.5" customHeight="1">
      <c r="A49" s="18">
        <v>12</v>
      </c>
      <c r="B49" s="99" t="s">
        <v>62</v>
      </c>
      <c r="C49" s="159"/>
      <c r="D49" s="30">
        <f t="shared" ref="D49:K49" ca="1" si="21">IF(C17="X","X",IF(D17="X","X",IF(C17&lt;&gt;0,ROUND((D17-C17)/ABS(C17)*100,3),"- ")))</f>
        <v>-3.319</v>
      </c>
      <c r="E49" s="30">
        <f t="shared" ca="1" si="21"/>
        <v>3.6379999999999999</v>
      </c>
      <c r="F49" s="30">
        <f t="shared" ca="1" si="21"/>
        <v>-0.66800000000000004</v>
      </c>
      <c r="G49" s="30">
        <f t="shared" ca="1" si="21"/>
        <v>-0.16500000000000001</v>
      </c>
      <c r="H49" s="30">
        <f t="shared" ca="1" si="21"/>
        <v>-8.4120000000000008</v>
      </c>
      <c r="I49" s="30">
        <f t="shared" ca="1" si="21"/>
        <v>1.954</v>
      </c>
      <c r="J49" s="30">
        <f t="shared" ca="1" si="21"/>
        <v>2.722</v>
      </c>
      <c r="K49" s="30">
        <f t="shared" ca="1" si="21"/>
        <v>3.6779999999999999</v>
      </c>
      <c r="L49" s="30">
        <f t="shared" ca="1" si="8"/>
        <v>-2.1819999999999999</v>
      </c>
      <c r="M49" s="30">
        <f t="shared" ca="1" si="8"/>
        <v>3.5059999999999998</v>
      </c>
      <c r="N49" s="30">
        <f t="shared" ca="1" si="9"/>
        <v>12.644</v>
      </c>
      <c r="O49" s="30">
        <f t="shared" ca="1" si="10"/>
        <v>5.4790000000000001</v>
      </c>
    </row>
    <row r="50" spans="1:15" ht="16.5" customHeight="1">
      <c r="A50" s="18">
        <v>13</v>
      </c>
      <c r="B50" s="99" t="s">
        <v>63</v>
      </c>
      <c r="C50" s="159"/>
      <c r="D50" s="30">
        <f t="shared" ref="D50:K50" ca="1" si="22">IF(C18="X","X",IF(D18="X","X",IF(C18&lt;&gt;0,ROUND((D18-C18)/ABS(C18)*100,3),"- ")))</f>
        <v>-0.85699999999999998</v>
      </c>
      <c r="E50" s="30">
        <f t="shared" ca="1" si="22"/>
        <v>1.198</v>
      </c>
      <c r="F50" s="30">
        <f t="shared" ca="1" si="22"/>
        <v>3.423</v>
      </c>
      <c r="G50" s="30">
        <f t="shared" ca="1" si="22"/>
        <v>-0.39900000000000002</v>
      </c>
      <c r="H50" s="30">
        <f t="shared" ca="1" si="22"/>
        <v>1.38</v>
      </c>
      <c r="I50" s="30">
        <f t="shared" ca="1" si="22"/>
        <v>3.395</v>
      </c>
      <c r="J50" s="30">
        <f t="shared" ca="1" si="22"/>
        <v>-0.34</v>
      </c>
      <c r="K50" s="30">
        <f t="shared" ca="1" si="22"/>
        <v>3.1309999999999998</v>
      </c>
      <c r="L50" s="30">
        <f t="shared" ca="1" si="8"/>
        <v>2.3239999999999998</v>
      </c>
      <c r="M50" s="30">
        <f t="shared" ca="1" si="8"/>
        <v>4.34</v>
      </c>
      <c r="N50" s="30">
        <f t="shared" ca="1" si="9"/>
        <v>4.173</v>
      </c>
      <c r="O50" s="30">
        <f t="shared" ca="1" si="10"/>
        <v>-2.1459999999999999</v>
      </c>
    </row>
    <row r="51" spans="1:15" ht="16.5" customHeight="1">
      <c r="A51" s="18">
        <v>14</v>
      </c>
      <c r="B51" s="99" t="s">
        <v>64</v>
      </c>
      <c r="C51" s="159"/>
      <c r="D51" s="30">
        <f t="shared" ref="D51:K51" ca="1" si="23">IF(C19="X","X",IF(D19="X","X",IF(C19&lt;&gt;0,ROUND((D19-C19)/ABS(C19)*100,3),"- ")))</f>
        <v>6.0259999999999998</v>
      </c>
      <c r="E51" s="30">
        <f t="shared" ca="1" si="23"/>
        <v>4.5510000000000002</v>
      </c>
      <c r="F51" s="30">
        <f t="shared" ca="1" si="23"/>
        <v>3.1469999999999998</v>
      </c>
      <c r="G51" s="30">
        <f t="shared" ca="1" si="23"/>
        <v>9.577</v>
      </c>
      <c r="H51" s="30">
        <f t="shared" ca="1" si="23"/>
        <v>9.2690000000000001</v>
      </c>
      <c r="I51" s="30">
        <f t="shared" ca="1" si="23"/>
        <v>-2.214</v>
      </c>
      <c r="J51" s="30">
        <f t="shared" ca="1" si="23"/>
        <v>-1.9910000000000001</v>
      </c>
      <c r="K51" s="30">
        <f t="shared" ca="1" si="23"/>
        <v>-1.5980000000000001</v>
      </c>
      <c r="L51" s="30">
        <f t="shared" ca="1" si="8"/>
        <v>0.11899999999999999</v>
      </c>
      <c r="M51" s="30">
        <f t="shared" ca="1" si="8"/>
        <v>10.099</v>
      </c>
      <c r="N51" s="30">
        <f t="shared" ca="1" si="9"/>
        <v>5.843</v>
      </c>
      <c r="O51" s="30">
        <f t="shared" ca="1" si="10"/>
        <v>-2.9769999999999999</v>
      </c>
    </row>
    <row r="52" spans="1:15" ht="16.5" customHeight="1">
      <c r="A52" s="18">
        <v>15</v>
      </c>
      <c r="B52" s="99" t="s">
        <v>65</v>
      </c>
      <c r="C52" s="159"/>
      <c r="D52" s="30">
        <f t="shared" ref="D52:K52" ca="1" si="24">IF(C20="X","X",IF(D20="X","X",IF(C20&lt;&gt;0,ROUND((D20-C20)/ABS(C20)*100,3),"- ")))</f>
        <v>-0.82099999999999995</v>
      </c>
      <c r="E52" s="30">
        <f t="shared" ca="1" si="24"/>
        <v>-2.5529999999999999</v>
      </c>
      <c r="F52" s="30">
        <f t="shared" ca="1" si="24"/>
        <v>6.4829999999999997</v>
      </c>
      <c r="G52" s="30">
        <f t="shared" ca="1" si="24"/>
        <v>3.6749999999999998</v>
      </c>
      <c r="H52" s="30">
        <f t="shared" ca="1" si="24"/>
        <v>1.4930000000000001</v>
      </c>
      <c r="I52" s="30">
        <f t="shared" ca="1" si="24"/>
        <v>2.2890000000000001</v>
      </c>
      <c r="J52" s="30">
        <f t="shared" ca="1" si="24"/>
        <v>2.9129999999999998</v>
      </c>
      <c r="K52" s="30">
        <f t="shared" ca="1" si="24"/>
        <v>4.08</v>
      </c>
      <c r="L52" s="30">
        <f t="shared" ca="1" si="8"/>
        <v>-6.3970000000000002</v>
      </c>
      <c r="M52" s="30">
        <f t="shared" ca="1" si="8"/>
        <v>2.3250000000000002</v>
      </c>
      <c r="N52" s="30">
        <f t="shared" ca="1" si="9"/>
        <v>1.625</v>
      </c>
      <c r="O52" s="30">
        <f t="shared" ca="1" si="10"/>
        <v>4.4480000000000004</v>
      </c>
    </row>
    <row r="53" spans="1:15" ht="16.5" customHeight="1">
      <c r="A53" s="18">
        <v>16</v>
      </c>
      <c r="B53" s="99" t="s">
        <v>66</v>
      </c>
      <c r="C53" s="159"/>
      <c r="D53" s="30">
        <f t="shared" ref="D53:K53" ca="1" si="25">IF(C21="X","X",IF(D21="X","X",IF(C21&lt;&gt;0,ROUND((D21-C21)/ABS(C21)*100,3),"- ")))</f>
        <v>-0.69</v>
      </c>
      <c r="E53" s="30">
        <f t="shared" ca="1" si="25"/>
        <v>-3.6869999999999998</v>
      </c>
      <c r="F53" s="30">
        <f t="shared" ca="1" si="25"/>
        <v>0.33300000000000002</v>
      </c>
      <c r="G53" s="30">
        <f t="shared" ca="1" si="25"/>
        <v>1.343</v>
      </c>
      <c r="H53" s="30">
        <f t="shared" ca="1" si="25"/>
        <v>8.0000000000000002E-3</v>
      </c>
      <c r="I53" s="30">
        <f t="shared" ca="1" si="25"/>
        <v>3.5790000000000002</v>
      </c>
      <c r="J53" s="30">
        <f t="shared" ca="1" si="25"/>
        <v>2.0019999999999998</v>
      </c>
      <c r="K53" s="30">
        <f t="shared" ca="1" si="25"/>
        <v>0.93200000000000005</v>
      </c>
      <c r="L53" s="30">
        <f t="shared" ca="1" si="8"/>
        <v>2.9630000000000001</v>
      </c>
      <c r="M53" s="30">
        <f t="shared" ca="1" si="8"/>
        <v>3.5430000000000001</v>
      </c>
      <c r="N53" s="30">
        <f t="shared" ca="1" si="9"/>
        <v>4.4560000000000004</v>
      </c>
      <c r="O53" s="30">
        <f t="shared" ca="1" si="10"/>
        <v>-1.4730000000000001</v>
      </c>
    </row>
    <row r="54" spans="1:15" ht="16.5" customHeight="1">
      <c r="A54" s="18">
        <v>17</v>
      </c>
      <c r="B54" s="99" t="s">
        <v>67</v>
      </c>
      <c r="C54" s="159"/>
      <c r="D54" s="30">
        <f t="shared" ref="D54:K54" ca="1" si="26">IF(C22="X","X",IF(D22="X","X",IF(C22&lt;&gt;0,ROUND((D22-C22)/ABS(C22)*100,3),"- ")))</f>
        <v>4.5990000000000002</v>
      </c>
      <c r="E54" s="30">
        <f t="shared" ca="1" si="26"/>
        <v>3.5190000000000001</v>
      </c>
      <c r="F54" s="30">
        <f t="shared" ca="1" si="26"/>
        <v>1.198</v>
      </c>
      <c r="G54" s="30">
        <f t="shared" ca="1" si="26"/>
        <v>9.0709999999999997</v>
      </c>
      <c r="H54" s="30">
        <f t="shared" ca="1" si="26"/>
        <v>5.1269999999999998</v>
      </c>
      <c r="I54" s="30">
        <f t="shared" ca="1" si="26"/>
        <v>1.0529999999999999</v>
      </c>
      <c r="J54" s="30">
        <f t="shared" ca="1" si="26"/>
        <v>3.6920000000000002</v>
      </c>
      <c r="K54" s="30">
        <f t="shared" ca="1" si="26"/>
        <v>4.0110000000000001</v>
      </c>
      <c r="L54" s="30">
        <f t="shared" ca="1" si="8"/>
        <v>0.85399999999999998</v>
      </c>
      <c r="M54" s="30">
        <f t="shared" ca="1" si="8"/>
        <v>4.758</v>
      </c>
      <c r="N54" s="30">
        <f t="shared" ca="1" si="9"/>
        <v>0.874</v>
      </c>
      <c r="O54" s="30">
        <f t="shared" ca="1" si="10"/>
        <v>0.748</v>
      </c>
    </row>
    <row r="55" spans="1:15" ht="16.5" customHeight="1">
      <c r="A55" s="18">
        <v>18</v>
      </c>
      <c r="B55" s="99" t="s">
        <v>68</v>
      </c>
      <c r="C55" s="159"/>
      <c r="D55" s="30">
        <f t="shared" ref="D55:K55" ca="1" si="27">IF(C23="X","X",IF(D23="X","X",IF(C23&lt;&gt;0,ROUND((D23-C23)/ABS(C23)*100,3),"- ")))</f>
        <v>2.766</v>
      </c>
      <c r="E55" s="30">
        <f t="shared" ca="1" si="27"/>
        <v>-2.2909999999999999</v>
      </c>
      <c r="F55" s="30">
        <f t="shared" ca="1" si="27"/>
        <v>-0.69699999999999995</v>
      </c>
      <c r="G55" s="30">
        <f t="shared" ca="1" si="27"/>
        <v>0.14000000000000001</v>
      </c>
      <c r="H55" s="30">
        <f t="shared" ca="1" si="27"/>
        <v>-0.68200000000000005</v>
      </c>
      <c r="I55" s="30">
        <f t="shared" ca="1" si="27"/>
        <v>1.44</v>
      </c>
      <c r="J55" s="30">
        <f t="shared" ca="1" si="27"/>
        <v>-2.6389999999999998</v>
      </c>
      <c r="K55" s="30">
        <f t="shared" ca="1" si="27"/>
        <v>-1.4630000000000001</v>
      </c>
      <c r="L55" s="30">
        <f t="shared" ca="1" si="8"/>
        <v>-8.3040000000000003</v>
      </c>
      <c r="M55" s="30">
        <f t="shared" ca="1" si="8"/>
        <v>10.222</v>
      </c>
      <c r="N55" s="30">
        <f t="shared" ca="1" si="9"/>
        <v>5.2450000000000001</v>
      </c>
      <c r="O55" s="30">
        <f t="shared" ca="1" si="10"/>
        <v>-3.8759999999999999</v>
      </c>
    </row>
    <row r="56" spans="1:15" ht="16.5" customHeight="1">
      <c r="A56" s="33">
        <v>19</v>
      </c>
      <c r="B56" s="98" t="s">
        <v>70</v>
      </c>
      <c r="C56" s="160"/>
      <c r="D56" s="29">
        <f t="shared" ref="D56:K56" ca="1" si="28">IF(C24="X","X",IF(D24="X","X",IF(C24&lt;&gt;0,ROUND((D24-C24)/ABS(C24)*100,3),"- ")))</f>
        <v>-0.77900000000000003</v>
      </c>
      <c r="E56" s="29">
        <f t="shared" ca="1" si="28"/>
        <v>2.1150000000000002</v>
      </c>
      <c r="F56" s="29">
        <f t="shared" ca="1" si="28"/>
        <v>2.81</v>
      </c>
      <c r="G56" s="29">
        <f t="shared" ca="1" si="28"/>
        <v>3.8319999999999999</v>
      </c>
      <c r="H56" s="29">
        <f t="shared" ca="1" si="28"/>
        <v>4.2119999999999997</v>
      </c>
      <c r="I56" s="29">
        <f t="shared" ca="1" si="28"/>
        <v>0.88100000000000001</v>
      </c>
      <c r="J56" s="29">
        <f t="shared" ca="1" si="28"/>
        <v>0.161</v>
      </c>
      <c r="K56" s="29">
        <f t="shared" ca="1" si="28"/>
        <v>-0.625</v>
      </c>
      <c r="L56" s="29">
        <f t="shared" ca="1" si="8"/>
        <v>-9.5190000000000001</v>
      </c>
      <c r="M56" s="29">
        <f t="shared" ca="1" si="8"/>
        <v>5.9779999999999998</v>
      </c>
      <c r="N56" s="29">
        <f t="shared" ca="1" si="9"/>
        <v>3.3759999999999999</v>
      </c>
      <c r="O56" s="29">
        <f t="shared" ca="1" si="10"/>
        <v>5.2190000000000003</v>
      </c>
    </row>
    <row r="57" spans="1:15" ht="16.5" customHeight="1" thickBot="1">
      <c r="A57" s="60">
        <v>20</v>
      </c>
      <c r="B57" s="101" t="s">
        <v>100</v>
      </c>
      <c r="C57" s="161"/>
      <c r="D57" s="162">
        <f t="shared" ref="D57:K57" ca="1" si="29">IF(C25="X","X",IF(D25="X","X",IF(C25&lt;&gt;0,ROUND((D25-C25)/ABS(C25)*100,3),"- ")))</f>
        <v>-6.2119999999999997</v>
      </c>
      <c r="E57" s="162">
        <f t="shared" ca="1" si="29"/>
        <v>-46.204000000000001</v>
      </c>
      <c r="F57" s="162">
        <f t="shared" ca="1" si="29"/>
        <v>-247.14699999999999</v>
      </c>
      <c r="G57" s="162">
        <f t="shared" ca="1" si="29"/>
        <v>-440.40800000000002</v>
      </c>
      <c r="H57" s="162">
        <f t="shared" ca="1" si="29"/>
        <v>-40.784999999999997</v>
      </c>
      <c r="I57" s="162">
        <f t="shared" ca="1" si="29"/>
        <v>-4.4260000000000002</v>
      </c>
      <c r="J57" s="162">
        <f t="shared" ca="1" si="29"/>
        <v>-4.7649999999999997</v>
      </c>
      <c r="K57" s="162">
        <f t="shared" ca="1" si="29"/>
        <v>-25.818000000000001</v>
      </c>
      <c r="L57" s="162">
        <f t="shared" ca="1" si="8"/>
        <v>15.619</v>
      </c>
      <c r="M57" s="162">
        <f t="shared" ca="1" si="8"/>
        <v>-24.388000000000002</v>
      </c>
      <c r="N57" s="162">
        <f t="shared" ca="1" si="9"/>
        <v>11.260999999999999</v>
      </c>
      <c r="O57" s="162">
        <f t="shared" ca="1" si="10"/>
        <v>-6.1719999999999997</v>
      </c>
    </row>
    <row r="58" spans="1:15" ht="16.5" customHeight="1" thickTop="1">
      <c r="A58" s="18">
        <v>21</v>
      </c>
      <c r="B58" s="99" t="s">
        <v>119</v>
      </c>
      <c r="C58" s="159"/>
      <c r="D58" s="30">
        <f t="shared" ref="D58:K58" ca="1" si="30">IF(C26="X","X",IF(D26="X","X",IF(C26&lt;&gt;0,ROUND((D26-C26)/ABS(C26)*100,3),"- ")))</f>
        <v>-0.78500000000000003</v>
      </c>
      <c r="E58" s="30">
        <f t="shared" ca="1" si="30"/>
        <v>2.0659999999999998</v>
      </c>
      <c r="F58" s="30">
        <f t="shared" ca="1" si="30"/>
        <v>2.677</v>
      </c>
      <c r="G58" s="30">
        <f t="shared" ca="1" si="30"/>
        <v>3.4990000000000001</v>
      </c>
      <c r="H58" s="30">
        <f t="shared" ca="1" si="30"/>
        <v>4.0659999999999998</v>
      </c>
      <c r="I58" s="30">
        <f t="shared" ca="1" si="30"/>
        <v>0.86199999999999999</v>
      </c>
      <c r="J58" s="30">
        <f t="shared" ca="1" si="30"/>
        <v>0.13600000000000001</v>
      </c>
      <c r="K58" s="30">
        <f t="shared" ca="1" si="30"/>
        <v>-0.78</v>
      </c>
      <c r="L58" s="30">
        <f t="shared" ca="1" si="8"/>
        <v>-9.4740000000000002</v>
      </c>
      <c r="M58" s="30">
        <f t="shared" ca="1" si="8"/>
        <v>5.851</v>
      </c>
      <c r="N58" s="30">
        <f t="shared" ca="1" si="9"/>
        <v>3.4950000000000001</v>
      </c>
      <c r="O58" s="30">
        <f t="shared" ca="1" si="10"/>
        <v>5.2119999999999997</v>
      </c>
    </row>
    <row r="59" spans="1:15" ht="16.5" customHeight="1">
      <c r="A59" s="115" t="s">
        <v>158</v>
      </c>
      <c r="B59" s="116" t="s">
        <v>72</v>
      </c>
      <c r="C59" s="158"/>
      <c r="D59" s="31">
        <f t="shared" ref="D59:K59" ca="1" si="31">IF(C27="X","X",IF(D27="X","X",IF(C27&lt;&gt;0,ROUND((D27-C27)/ABS(C27)*100,3),"- ")))</f>
        <v>14.278</v>
      </c>
      <c r="E59" s="31">
        <f t="shared" ca="1" si="31"/>
        <v>-0.14699999999999999</v>
      </c>
      <c r="F59" s="31">
        <f t="shared" ca="1" si="31"/>
        <v>-0.58899999999999997</v>
      </c>
      <c r="G59" s="31">
        <f t="shared" ca="1" si="31"/>
        <v>28.332000000000001</v>
      </c>
      <c r="H59" s="31">
        <f t="shared" ca="1" si="31"/>
        <v>0.69199999999999995</v>
      </c>
      <c r="I59" s="31">
        <f t="shared" ca="1" si="31"/>
        <v>8.48</v>
      </c>
      <c r="J59" s="31">
        <f t="shared" ca="1" si="31"/>
        <v>-1.796</v>
      </c>
      <c r="K59" s="31">
        <f t="shared" ca="1" si="31"/>
        <v>-6.7770000000000001</v>
      </c>
      <c r="L59" s="31">
        <f t="shared" ca="1" si="8"/>
        <v>-24.154</v>
      </c>
      <c r="M59" s="31">
        <f t="shared" ca="1" si="8"/>
        <v>11.308</v>
      </c>
      <c r="N59" s="31">
        <f t="shared" ca="1" si="9"/>
        <v>-11.663</v>
      </c>
      <c r="O59" s="31">
        <f t="shared" ca="1" si="10"/>
        <v>21.248000000000001</v>
      </c>
    </row>
    <row r="60" spans="1:15" ht="16.5" customHeight="1">
      <c r="A60" s="118" t="s">
        <v>147</v>
      </c>
      <c r="B60" s="99" t="s">
        <v>73</v>
      </c>
      <c r="C60" s="159"/>
      <c r="D60" s="30">
        <f t="shared" ref="D60:K60" ca="1" si="32">IF(C28="X","X",IF(D28="X","X",IF(C28&lt;&gt;0,ROUND((D28-C28)/ABS(C28)*100,3),"- ")))</f>
        <v>4.7939999999999996</v>
      </c>
      <c r="E60" s="30">
        <f t="shared" ca="1" si="32"/>
        <v>6.2629999999999999</v>
      </c>
      <c r="F60" s="30">
        <f t="shared" ca="1" si="32"/>
        <v>38.957000000000001</v>
      </c>
      <c r="G60" s="30">
        <f t="shared" ca="1" si="32"/>
        <v>8.8360000000000003</v>
      </c>
      <c r="H60" s="30">
        <f t="shared" ca="1" si="32"/>
        <v>10.304</v>
      </c>
      <c r="I60" s="30">
        <f t="shared" ca="1" si="32"/>
        <v>-0.13600000000000001</v>
      </c>
      <c r="J60" s="30">
        <f t="shared" ca="1" si="32"/>
        <v>-5.391</v>
      </c>
      <c r="K60" s="30">
        <f t="shared" ca="1" si="32"/>
        <v>-6.8220000000000001</v>
      </c>
      <c r="L60" s="30">
        <f t="shared" ca="1" si="8"/>
        <v>-14.066000000000001</v>
      </c>
      <c r="M60" s="30">
        <f t="shared" ca="1" si="8"/>
        <v>29.95</v>
      </c>
      <c r="N60" s="30">
        <f t="shared" ca="1" si="9"/>
        <v>-29.31</v>
      </c>
      <c r="O60" s="30">
        <f t="shared" ca="1" si="10"/>
        <v>0.90400000000000003</v>
      </c>
    </row>
    <row r="61" spans="1:15" ht="16.5" customHeight="1">
      <c r="A61" s="119" t="s">
        <v>148</v>
      </c>
      <c r="B61" s="100" t="s">
        <v>74</v>
      </c>
      <c r="C61" s="163"/>
      <c r="D61" s="32">
        <f t="shared" ref="D61:K62" ca="1" si="33">IF(C29="X","X",IF(D29="X","X",IF(C29&lt;&gt;0,ROUND((D29-C29)/ABS(C29)*100,3),"- ")))</f>
        <v>-1.089</v>
      </c>
      <c r="E61" s="32">
        <f t="shared" ca="1" si="33"/>
        <v>1.893</v>
      </c>
      <c r="F61" s="32">
        <f t="shared" ca="1" si="33"/>
        <v>0.75800000000000001</v>
      </c>
      <c r="G61" s="32">
        <f t="shared" ca="1" si="33"/>
        <v>3.3969999999999998</v>
      </c>
      <c r="H61" s="32">
        <f t="shared" ca="1" si="33"/>
        <v>3.7149999999999999</v>
      </c>
      <c r="I61" s="32">
        <f t="shared" ca="1" si="33"/>
        <v>0.95499999999999996</v>
      </c>
      <c r="J61" s="32">
        <f t="shared" ca="1" si="33"/>
        <v>0.64800000000000002</v>
      </c>
      <c r="K61" s="32">
        <f t="shared" ca="1" si="33"/>
        <v>-0.106</v>
      </c>
      <c r="L61" s="32">
        <f t="shared" ca="1" si="8"/>
        <v>-9.1430000000000007</v>
      </c>
      <c r="M61" s="32">
        <f t="shared" ca="1" si="8"/>
        <v>4.2409999999999997</v>
      </c>
      <c r="N61" s="32">
        <f t="shared" ca="1" si="9"/>
        <v>6.3410000000000002</v>
      </c>
      <c r="O61" s="32">
        <f t="shared" ca="1" si="10"/>
        <v>5.4530000000000003</v>
      </c>
    </row>
    <row r="62" spans="1:15" ht="16.5" customHeight="1">
      <c r="A62" s="115"/>
      <c r="B62" s="276" t="s">
        <v>279</v>
      </c>
      <c r="C62" s="278"/>
      <c r="D62" s="31">
        <f t="shared" ca="1" si="33"/>
        <v>-2.6549999999999998</v>
      </c>
      <c r="E62" s="31">
        <f t="shared" ref="E62:E63" ca="1" si="34">IF(D30="X","X",IF(E30="X","X",IF(D30&lt;&gt;0,ROUND((E30-D30)/ABS(D30)*100,3),"- ")))</f>
        <v>1.6220000000000001</v>
      </c>
      <c r="F62" s="31">
        <f t="shared" ref="F62:F63" ca="1" si="35">IF(E30="X","X",IF(F30="X","X",IF(E30&lt;&gt;0,ROUND((F30-E30)/ABS(E30)*100,3),"- ")))</f>
        <v>0.46800000000000003</v>
      </c>
      <c r="G62" s="31">
        <f t="shared" ref="G62:G63" ca="1" si="36">IF(F30="X","X",IF(G30="X","X",IF(F30&lt;&gt;0,ROUND((G30-F30)/ABS(F30)*100,3),"- ")))</f>
        <v>2.1640000000000001</v>
      </c>
      <c r="H62" s="31">
        <f t="shared" ref="H62:H63" ca="1" si="37">IF(G30="X","X",IF(H30="X","X",IF(G30&lt;&gt;0,ROUND((H30-G30)/ABS(G30)*100,3),"- ")))</f>
        <v>0.72399999999999998</v>
      </c>
      <c r="I62" s="31">
        <f t="shared" ref="I62:I63" ca="1" si="38">IF(H30="X","X",IF(I30="X","X",IF(H30&lt;&gt;0,ROUND((I30-H30)/ABS(H30)*100,3),"- ")))</f>
        <v>-0.54600000000000004</v>
      </c>
      <c r="J62" s="31">
        <f t="shared" ref="J62:J63" ca="1" si="39">IF(I30="X","X",IF(J30="X","X",IF(I30&lt;&gt;0,ROUND((J30-I30)/ABS(I30)*100,3),"- ")))</f>
        <v>-1.1639999999999999</v>
      </c>
      <c r="K62" s="31">
        <f t="shared" ref="K62:K63" ca="1" si="40">IF(J30="X","X",IF(K30="X","X",IF(J30&lt;&gt;0,ROUND((K30-J30)/ABS(J30)*100,3),"- ")))</f>
        <v>-3.6019999999999999</v>
      </c>
      <c r="L62" s="31">
        <f t="shared" ref="L62:L63" ca="1" si="41">IF(K30="X","X",IF(L30="X","X",IF(K30&lt;&gt;0,ROUND((L30-K30)/ABS(K30)*100,3),"- ")))</f>
        <v>-9.0039999999999996</v>
      </c>
      <c r="M62" s="31">
        <f t="shared" ref="M62:M63" ca="1" si="42">IF(L30="X","X",IF(M30="X","X",IF(L30&lt;&gt;0,ROUND((M30-L30)/ABS(L30)*100,3),"- ")))</f>
        <v>4.2759999999999998</v>
      </c>
      <c r="N62" s="31">
        <f t="shared" ca="1" si="9"/>
        <v>3.7160000000000002</v>
      </c>
      <c r="O62" s="31">
        <f t="shared" ca="1" si="10"/>
        <v>3.0259999999999998</v>
      </c>
    </row>
    <row r="63" spans="1:15" ht="16.5" customHeight="1">
      <c r="A63" s="119"/>
      <c r="B63" s="277" t="s">
        <v>280</v>
      </c>
      <c r="C63" s="279"/>
      <c r="D63" s="32">
        <f t="shared" ref="D63" ca="1" si="43">IF(C31="X","X",IF(D31="X","X",IF(C31&lt;&gt;0,ROUND((D31-C31)/ABS(C31)*100,3),"- ")))</f>
        <v>-0.14699999999999999</v>
      </c>
      <c r="E63" s="32">
        <f t="shared" ca="1" si="34"/>
        <v>2.9460000000000002</v>
      </c>
      <c r="F63" s="32">
        <f t="shared" ca="1" si="35"/>
        <v>0.51</v>
      </c>
      <c r="G63" s="32">
        <f t="shared" ca="1" si="36"/>
        <v>2.7389999999999999</v>
      </c>
      <c r="H63" s="32">
        <f t="shared" ca="1" si="37"/>
        <v>3.1549999999999998</v>
      </c>
      <c r="I63" s="32">
        <f t="shared" ca="1" si="38"/>
        <v>0.77900000000000003</v>
      </c>
      <c r="J63" s="32">
        <f t="shared" ca="1" si="39"/>
        <v>-0.46700000000000003</v>
      </c>
      <c r="K63" s="32">
        <f t="shared" ca="1" si="40"/>
        <v>-1.62</v>
      </c>
      <c r="L63" s="32">
        <f t="shared" ca="1" si="41"/>
        <v>-9.6140000000000008</v>
      </c>
      <c r="M63" s="32">
        <f t="shared" ca="1" si="42"/>
        <v>5.2969999999999997</v>
      </c>
      <c r="N63" s="32">
        <f t="shared" ca="1" si="9"/>
        <v>1.8919999999999999</v>
      </c>
      <c r="O63" s="32">
        <f t="shared" ca="1" si="10"/>
        <v>2.5550000000000002</v>
      </c>
    </row>
    <row r="64" spans="1:15" ht="16.5" customHeight="1">
      <c r="B64" s="25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</row>
    <row r="65" spans="1:22" ht="16.5" customHeight="1">
      <c r="A65" s="83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R65" s="69" t="s">
        <v>106</v>
      </c>
    </row>
    <row r="66" spans="1:22" ht="16.5" customHeight="1">
      <c r="A66" s="110" t="str">
        <f>A$2</f>
        <v>那　　覇</v>
      </c>
      <c r="B66" s="157" t="str">
        <f>B$2</f>
        <v>那 覇 市</v>
      </c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R66" s="192" t="str">
        <f>"("&amp;地域分析!$E$2&amp;")"</f>
        <v>(令和５年度)</v>
      </c>
    </row>
    <row r="67" spans="1:22" ht="16.5" customHeight="1">
      <c r="A67" s="34" t="s">
        <v>271</v>
      </c>
      <c r="B67" s="96"/>
      <c r="C67" s="97"/>
      <c r="D67" s="97"/>
      <c r="E67" s="97"/>
      <c r="F67" s="2"/>
      <c r="G67" s="2"/>
      <c r="H67" s="1"/>
      <c r="I67" s="2"/>
      <c r="J67" s="2"/>
      <c r="K67" s="2"/>
      <c r="L67" s="2"/>
      <c r="M67" s="2"/>
      <c r="N67" s="2"/>
      <c r="O67" s="2"/>
      <c r="U67" s="24" t="s">
        <v>251</v>
      </c>
    </row>
    <row r="68" spans="1:22" ht="16.5" customHeight="1">
      <c r="A68" s="6"/>
      <c r="B68" s="7"/>
      <c r="C68" s="27">
        <f>C$4</f>
        <v>23</v>
      </c>
      <c r="D68" s="27">
        <f t="shared" ref="D68:O68" si="44">D$4</f>
        <v>24</v>
      </c>
      <c r="E68" s="27">
        <f t="shared" si="44"/>
        <v>25</v>
      </c>
      <c r="F68" s="27">
        <f t="shared" si="44"/>
        <v>26</v>
      </c>
      <c r="G68" s="27">
        <f t="shared" si="44"/>
        <v>27</v>
      </c>
      <c r="H68" s="27">
        <f t="shared" si="44"/>
        <v>28</v>
      </c>
      <c r="I68" s="27">
        <f t="shared" si="44"/>
        <v>29</v>
      </c>
      <c r="J68" s="27">
        <f t="shared" si="44"/>
        <v>30</v>
      </c>
      <c r="K68" s="27">
        <f t="shared" si="44"/>
        <v>1</v>
      </c>
      <c r="L68" s="27">
        <f t="shared" si="44"/>
        <v>2</v>
      </c>
      <c r="M68" s="27">
        <f t="shared" si="44"/>
        <v>3</v>
      </c>
      <c r="N68" s="27">
        <f t="shared" si="44"/>
        <v>4</v>
      </c>
      <c r="O68" s="27">
        <f t="shared" si="44"/>
        <v>5</v>
      </c>
      <c r="Q68" s="61">
        <f ca="1">IF(S68="X","X",S68/$S$88*100)</f>
        <v>1.8651303518879263E-2</v>
      </c>
      <c r="R68" s="62" t="s">
        <v>51</v>
      </c>
      <c r="S68" s="215">
        <f ca="1">HLOOKUP(コード表!$K$108,地域分析BD!$C$4:$O$29,3,FALSE)</f>
        <v>270</v>
      </c>
      <c r="T68" s="207">
        <v>1</v>
      </c>
      <c r="U68" s="212" t="str">
        <f ca="1">VLOOKUP(V68,$Q$68:$R$85,2,0)&amp;CHAR(10)&amp;TEXT(V68,"0.0")&amp;"％"</f>
        <v>公務
14.8％</v>
      </c>
      <c r="V68" s="209">
        <f ca="1">LARGE($Q$68:$Q$85,1)</f>
        <v>14.764717260054432</v>
      </c>
    </row>
    <row r="69" spans="1:22" ht="16.5" customHeight="1">
      <c r="A69" s="12"/>
      <c r="B69" s="13"/>
      <c r="C69" s="28">
        <f>C$5</f>
        <v>2011</v>
      </c>
      <c r="D69" s="28">
        <f t="shared" ref="D69:O69" si="45">D$5</f>
        <v>2012</v>
      </c>
      <c r="E69" s="28">
        <f t="shared" si="45"/>
        <v>2013</v>
      </c>
      <c r="F69" s="28">
        <f t="shared" si="45"/>
        <v>2014</v>
      </c>
      <c r="G69" s="28">
        <f t="shared" si="45"/>
        <v>2015</v>
      </c>
      <c r="H69" s="28">
        <f t="shared" si="45"/>
        <v>2016</v>
      </c>
      <c r="I69" s="28">
        <f t="shared" si="45"/>
        <v>2017</v>
      </c>
      <c r="J69" s="28">
        <f t="shared" si="45"/>
        <v>2018</v>
      </c>
      <c r="K69" s="28">
        <f t="shared" si="45"/>
        <v>2019</v>
      </c>
      <c r="L69" s="28">
        <f t="shared" si="45"/>
        <v>2020</v>
      </c>
      <c r="M69" s="28">
        <f t="shared" si="45"/>
        <v>2021</v>
      </c>
      <c r="N69" s="28">
        <f t="shared" si="45"/>
        <v>2022</v>
      </c>
      <c r="O69" s="28">
        <f t="shared" si="45"/>
        <v>2023</v>
      </c>
      <c r="Q69" s="63">
        <f t="shared" ref="Q69:Q88" ca="1" si="46">IF(S69="X","X",S69/$S$88*100)</f>
        <v>3.0394716845581022E-3</v>
      </c>
      <c r="R69" s="64" t="s">
        <v>52</v>
      </c>
      <c r="S69" s="216">
        <f ca="1">HLOOKUP(コード表!$K$108,地域分析BD!$C$4:$O$29,4,FALSE)</f>
        <v>44</v>
      </c>
      <c r="T69" s="207">
        <v>2</v>
      </c>
      <c r="U69" s="213" t="str">
        <f t="shared" ref="U69:U77" ca="1" si="47">VLOOKUP(V69,$Q$68:$R$85,2,0)&amp;CHAR(10)&amp;TEXT(V69,"0.0")&amp;"％"</f>
        <v>専門・科学、業務支援
13.8％</v>
      </c>
      <c r="V69" s="210">
        <f ca="1">LARGE($Q$68:$Q$85,2)</f>
        <v>13.834362608971967</v>
      </c>
    </row>
    <row r="70" spans="1:22" ht="16.5" customHeight="1">
      <c r="A70" s="114" t="s">
        <v>159</v>
      </c>
      <c r="B70" s="23" t="s">
        <v>51</v>
      </c>
      <c r="C70" s="52">
        <f t="shared" ref="C70:M70" ca="1" si="48">IF(C6="X","X",IF(C6=0,"-",ROUND(C6/C$26*100,1)))</f>
        <v>0</v>
      </c>
      <c r="D70" s="31">
        <f t="shared" ca="1" si="48"/>
        <v>0</v>
      </c>
      <c r="E70" s="31">
        <f t="shared" ca="1" si="48"/>
        <v>0</v>
      </c>
      <c r="F70" s="31">
        <f t="shared" ca="1" si="48"/>
        <v>0</v>
      </c>
      <c r="G70" s="31">
        <f t="shared" ca="1" si="48"/>
        <v>0</v>
      </c>
      <c r="H70" s="31">
        <f t="shared" ca="1" si="48"/>
        <v>0</v>
      </c>
      <c r="I70" s="31">
        <f t="shared" ca="1" si="48"/>
        <v>0</v>
      </c>
      <c r="J70" s="31">
        <f t="shared" ca="1" si="48"/>
        <v>0</v>
      </c>
      <c r="K70" s="31">
        <f t="shared" ca="1" si="48"/>
        <v>0</v>
      </c>
      <c r="L70" s="31">
        <f t="shared" ca="1" si="48"/>
        <v>0</v>
      </c>
      <c r="M70" s="31">
        <f t="shared" ca="1" si="48"/>
        <v>0</v>
      </c>
      <c r="N70" s="31">
        <f t="shared" ref="N70:O70" ca="1" si="49">IF(N6="X","X",IF(N6=0,"-",ROUND(N6/N$26*100,1)))</f>
        <v>0</v>
      </c>
      <c r="O70" s="31">
        <f t="shared" ca="1" si="49"/>
        <v>0</v>
      </c>
      <c r="Q70" s="63">
        <f t="shared" ca="1" si="46"/>
        <v>0.14071372321465578</v>
      </c>
      <c r="R70" s="66" t="s">
        <v>53</v>
      </c>
      <c r="S70" s="217">
        <f ca="1">HLOOKUP(コード表!$K$108,地域分析BD!$C$4:$O$29,5,FALSE)</f>
        <v>2037</v>
      </c>
      <c r="T70" s="207">
        <v>3</v>
      </c>
      <c r="U70" s="213" t="str">
        <f t="shared" ca="1" si="47"/>
        <v>不動産業
10.7％</v>
      </c>
      <c r="V70" s="210">
        <f ca="1">LARGE($Q$68:$Q$85,3)</f>
        <v>10.667716665975878</v>
      </c>
    </row>
    <row r="71" spans="1:22" ht="16.5" customHeight="1">
      <c r="A71" s="114" t="s">
        <v>3</v>
      </c>
      <c r="B71" s="99" t="s">
        <v>52</v>
      </c>
      <c r="C71" s="53">
        <f t="shared" ref="C71:M71" ca="1" si="50">IF(C7="X","X",IF(C7=0,"-",ROUND(C7/C$26*100,1)))</f>
        <v>0</v>
      </c>
      <c r="D71" s="30">
        <f t="shared" ca="1" si="50"/>
        <v>0</v>
      </c>
      <c r="E71" s="30">
        <f t="shared" ca="1" si="50"/>
        <v>0</v>
      </c>
      <c r="F71" s="30">
        <f t="shared" ca="1" si="50"/>
        <v>0</v>
      </c>
      <c r="G71" s="30">
        <f t="shared" ca="1" si="50"/>
        <v>0</v>
      </c>
      <c r="H71" s="30">
        <f t="shared" ca="1" si="50"/>
        <v>0</v>
      </c>
      <c r="I71" s="30">
        <f t="shared" ca="1" si="50"/>
        <v>0</v>
      </c>
      <c r="J71" s="30">
        <f t="shared" ca="1" si="50"/>
        <v>0</v>
      </c>
      <c r="K71" s="30">
        <f t="shared" ca="1" si="50"/>
        <v>0</v>
      </c>
      <c r="L71" s="30">
        <f t="shared" ca="1" si="50"/>
        <v>0</v>
      </c>
      <c r="M71" s="30">
        <f t="shared" ca="1" si="50"/>
        <v>0</v>
      </c>
      <c r="N71" s="30">
        <f t="shared" ref="N71:O71" ca="1" si="51">IF(N7="X","X",IF(N7=0,"-",ROUND(N7/N$26*100,1)))</f>
        <v>0</v>
      </c>
      <c r="O71" s="30">
        <f t="shared" ca="1" si="51"/>
        <v>0</v>
      </c>
      <c r="Q71" s="61">
        <f t="shared" ca="1" si="46"/>
        <v>5.187825534325307E-2</v>
      </c>
      <c r="R71" s="62" t="s">
        <v>54</v>
      </c>
      <c r="S71" s="216">
        <f ca="1">HLOOKUP(コード表!$K$108,地域分析BD!$C$4:$O$29,6,FALSE)</f>
        <v>751</v>
      </c>
      <c r="T71" s="207">
        <v>4</v>
      </c>
      <c r="U71" s="213" t="str">
        <f t="shared" ca="1" si="47"/>
        <v>運輸・郵便業
10.4％</v>
      </c>
      <c r="V71" s="210">
        <f ca="1">LARGE($Q$68:$Q$85,4)</f>
        <v>10.363838576421989</v>
      </c>
    </row>
    <row r="72" spans="1:22" ht="16.5" customHeight="1">
      <c r="A72" s="114" t="s">
        <v>5</v>
      </c>
      <c r="B72" s="99" t="s">
        <v>53</v>
      </c>
      <c r="C72" s="53">
        <f t="shared" ref="C72:M72" ca="1" si="52">IF(C8="X","X",IF(C8=0,"-",ROUND(C8/C$26*100,1)))</f>
        <v>0.1</v>
      </c>
      <c r="D72" s="30">
        <f t="shared" ca="1" si="52"/>
        <v>0.1</v>
      </c>
      <c r="E72" s="30">
        <f t="shared" ca="1" si="52"/>
        <v>0.1</v>
      </c>
      <c r="F72" s="30">
        <f t="shared" ca="1" si="52"/>
        <v>0.1</v>
      </c>
      <c r="G72" s="30">
        <f t="shared" ca="1" si="52"/>
        <v>0.2</v>
      </c>
      <c r="H72" s="30">
        <f t="shared" ca="1" si="52"/>
        <v>0.2</v>
      </c>
      <c r="I72" s="30">
        <f t="shared" ca="1" si="52"/>
        <v>0.2</v>
      </c>
      <c r="J72" s="30">
        <f t="shared" ca="1" si="52"/>
        <v>0.2</v>
      </c>
      <c r="K72" s="30">
        <f t="shared" ca="1" si="52"/>
        <v>0.2</v>
      </c>
      <c r="L72" s="30">
        <f t="shared" ca="1" si="52"/>
        <v>0.1</v>
      </c>
      <c r="M72" s="30">
        <f t="shared" ca="1" si="52"/>
        <v>0.1</v>
      </c>
      <c r="N72" s="30">
        <f t="shared" ref="N72:O72" ca="1" si="53">IF(N8="X","X",IF(N8=0,"-",ROUND(N8/N$26*100,1)))</f>
        <v>0.1</v>
      </c>
      <c r="O72" s="30">
        <f t="shared" ca="1" si="53"/>
        <v>0.1</v>
      </c>
      <c r="Q72" s="63">
        <f t="shared" ca="1" si="46"/>
        <v>1.0161506472693109</v>
      </c>
      <c r="R72" s="64" t="s">
        <v>55</v>
      </c>
      <c r="S72" s="216">
        <f ca="1">HLOOKUP(コード表!$K$108,地域分析BD!$C$4:$O$29,7,FALSE)</f>
        <v>14710</v>
      </c>
      <c r="T72" s="207">
        <v>5</v>
      </c>
      <c r="U72" s="213" t="str">
        <f t="shared" ca="1" si="47"/>
        <v>保健衛生・社会事業
9.0％</v>
      </c>
      <c r="V72" s="210">
        <f ca="1">LARGE($Q$68:$Q$85,5)</f>
        <v>8.9933822411958939</v>
      </c>
    </row>
    <row r="73" spans="1:22" ht="16.5" customHeight="1">
      <c r="A73" s="114" t="s">
        <v>7</v>
      </c>
      <c r="B73" s="23" t="s">
        <v>54</v>
      </c>
      <c r="C73" s="53">
        <f t="shared" ref="C73:M73" ca="1" si="54">IF(C9="X","X",IF(C9=0,"-",ROUND(C9/C$26*100,1)))</f>
        <v>0</v>
      </c>
      <c r="D73" s="30">
        <f t="shared" ca="1" si="54"/>
        <v>0</v>
      </c>
      <c r="E73" s="30">
        <f t="shared" ca="1" si="54"/>
        <v>0</v>
      </c>
      <c r="F73" s="30">
        <f t="shared" ca="1" si="54"/>
        <v>0</v>
      </c>
      <c r="G73" s="30">
        <f t="shared" ca="1" si="54"/>
        <v>0</v>
      </c>
      <c r="H73" s="30">
        <f t="shared" ca="1" si="54"/>
        <v>0</v>
      </c>
      <c r="I73" s="30">
        <f t="shared" ca="1" si="54"/>
        <v>0</v>
      </c>
      <c r="J73" s="30">
        <f t="shared" ca="1" si="54"/>
        <v>0</v>
      </c>
      <c r="K73" s="30">
        <f t="shared" ca="1" si="54"/>
        <v>0</v>
      </c>
      <c r="L73" s="30">
        <f t="shared" ca="1" si="54"/>
        <v>0</v>
      </c>
      <c r="M73" s="30">
        <f t="shared" ca="1" si="54"/>
        <v>0</v>
      </c>
      <c r="N73" s="30">
        <f t="shared" ref="N73:O73" ca="1" si="55">IF(N9="X","X",IF(N9=0,"-",ROUND(N9/N$26*100,1)))</f>
        <v>0.1</v>
      </c>
      <c r="O73" s="30">
        <f t="shared" ca="1" si="55"/>
        <v>0.1</v>
      </c>
      <c r="Q73" s="65">
        <f t="shared" ca="1" si="46"/>
        <v>4.3692405465522723</v>
      </c>
      <c r="R73" s="66" t="s">
        <v>57</v>
      </c>
      <c r="S73" s="216">
        <f ca="1">HLOOKUP(コード表!$K$108,地域分析BD!$C$4:$O$29,8,FALSE)</f>
        <v>63250</v>
      </c>
      <c r="T73" s="207">
        <v>6</v>
      </c>
      <c r="U73" s="213" t="str">
        <f t="shared" ca="1" si="47"/>
        <v>卸売・小売業
8.8％</v>
      </c>
      <c r="V73" s="210">
        <f ca="1">LARGE($Q$68:$Q$85,6)</f>
        <v>8.7825534325306354</v>
      </c>
    </row>
    <row r="74" spans="1:22" ht="16.5" customHeight="1">
      <c r="A74" s="114" t="s">
        <v>9</v>
      </c>
      <c r="B74" s="99" t="s">
        <v>55</v>
      </c>
      <c r="C74" s="53">
        <f t="shared" ref="C74:M74" ca="1" si="56">IF(C10="X","X",IF(C10=0,"-",ROUND(C10/C$26*100,1)))</f>
        <v>1.1000000000000001</v>
      </c>
      <c r="D74" s="30">
        <f t="shared" ca="1" si="56"/>
        <v>1.1000000000000001</v>
      </c>
      <c r="E74" s="30">
        <f t="shared" ca="1" si="56"/>
        <v>1.1000000000000001</v>
      </c>
      <c r="F74" s="30">
        <f t="shared" ca="1" si="56"/>
        <v>1.1000000000000001</v>
      </c>
      <c r="G74" s="30">
        <f t="shared" ca="1" si="56"/>
        <v>0.9</v>
      </c>
      <c r="H74" s="30">
        <f t="shared" ca="1" si="56"/>
        <v>0.7</v>
      </c>
      <c r="I74" s="30">
        <f t="shared" ca="1" si="56"/>
        <v>1</v>
      </c>
      <c r="J74" s="30">
        <f t="shared" ca="1" si="56"/>
        <v>1</v>
      </c>
      <c r="K74" s="30">
        <f t="shared" ca="1" si="56"/>
        <v>0.8</v>
      </c>
      <c r="L74" s="30">
        <f t="shared" ca="1" si="56"/>
        <v>1.1000000000000001</v>
      </c>
      <c r="M74" s="30">
        <f t="shared" ca="1" si="56"/>
        <v>1</v>
      </c>
      <c r="N74" s="30">
        <f t="shared" ref="N74:O74" ca="1" si="57">IF(N10="X","X",IF(N10=0,"-",ROUND(N10/N$26*100,1)))</f>
        <v>0.9</v>
      </c>
      <c r="O74" s="30">
        <f t="shared" ca="1" si="57"/>
        <v>1</v>
      </c>
      <c r="Q74" s="63">
        <f t="shared" ca="1" si="46"/>
        <v>2.0392091847307996</v>
      </c>
      <c r="R74" s="73" t="s">
        <v>120</v>
      </c>
      <c r="S74" s="215">
        <f ca="1">HLOOKUP(コード表!$K$108,地域分析BD!$C$4:$O$29,9,FALSE)</f>
        <v>29520</v>
      </c>
      <c r="T74" s="207">
        <v>7</v>
      </c>
      <c r="U74" s="213" t="str">
        <f t="shared" ca="1" si="47"/>
        <v>金融・保険業
7.6％</v>
      </c>
      <c r="V74" s="210">
        <f ca="1">LARGE($Q$68:$Q$85,7)</f>
        <v>7.5821002749340298</v>
      </c>
    </row>
    <row r="75" spans="1:22" ht="16.5" customHeight="1">
      <c r="A75" s="114" t="s">
        <v>11</v>
      </c>
      <c r="B75" s="99" t="s">
        <v>57</v>
      </c>
      <c r="C75" s="53">
        <f t="shared" ref="C75:M75" ca="1" si="58">IF(C11="X","X",IF(C11=0,"-",ROUND(C11/C$26*100,1)))</f>
        <v>3.7</v>
      </c>
      <c r="D75" s="30">
        <f t="shared" ca="1" si="58"/>
        <v>4</v>
      </c>
      <c r="E75" s="30">
        <f t="shared" ca="1" si="58"/>
        <v>4.3</v>
      </c>
      <c r="F75" s="30">
        <f t="shared" ca="1" si="58"/>
        <v>6.2</v>
      </c>
      <c r="G75" s="30">
        <f t="shared" ca="1" si="58"/>
        <v>6.7</v>
      </c>
      <c r="H75" s="30">
        <f t="shared" ca="1" si="58"/>
        <v>7.4</v>
      </c>
      <c r="I75" s="30">
        <f t="shared" ca="1" si="58"/>
        <v>7</v>
      </c>
      <c r="J75" s="30">
        <f t="shared" ca="1" si="58"/>
        <v>6.5</v>
      </c>
      <c r="K75" s="30">
        <f t="shared" ca="1" si="58"/>
        <v>6.3</v>
      </c>
      <c r="L75" s="30">
        <f t="shared" ca="1" si="58"/>
        <v>5.6</v>
      </c>
      <c r="M75" s="30">
        <f t="shared" ca="1" si="58"/>
        <v>7.3</v>
      </c>
      <c r="N75" s="30">
        <f t="shared" ref="N75:O75" ca="1" si="59">IF(N11="X","X",IF(N11=0,"-",ROUND(N11/N$26*100,1)))</f>
        <v>4.7</v>
      </c>
      <c r="O75" s="30">
        <f t="shared" ca="1" si="59"/>
        <v>4.4000000000000004</v>
      </c>
      <c r="Q75" s="63">
        <f t="shared" ca="1" si="46"/>
        <v>8.7825534325306354</v>
      </c>
      <c r="R75" s="72" t="s">
        <v>58</v>
      </c>
      <c r="S75" s="216">
        <f ca="1">HLOOKUP(コード表!$K$108,地域分析BD!$C$4:$O$29,10,FALSE)</f>
        <v>127138</v>
      </c>
      <c r="T75" s="207">
        <v>8</v>
      </c>
      <c r="U75" s="213" t="str">
        <f t="shared" ca="1" si="47"/>
        <v>情報通信業
6.6％</v>
      </c>
      <c r="V75" s="210">
        <f ca="1">LARGE($Q$68:$Q$85,8)</f>
        <v>6.5718213343280691</v>
      </c>
    </row>
    <row r="76" spans="1:22" ht="16.5" customHeight="1">
      <c r="A76" s="114" t="s">
        <v>13</v>
      </c>
      <c r="B76" s="99" t="s">
        <v>56</v>
      </c>
      <c r="C76" s="53">
        <f t="shared" ref="C76:M76" ca="1" si="60">IF(C12="X","X",IF(C12=0,"-",ROUND(C12/C$26*100,1)))</f>
        <v>2</v>
      </c>
      <c r="D76" s="30">
        <f t="shared" ca="1" si="60"/>
        <v>2</v>
      </c>
      <c r="E76" s="30">
        <f t="shared" ca="1" si="60"/>
        <v>1.9</v>
      </c>
      <c r="F76" s="30">
        <f t="shared" ca="1" si="60"/>
        <v>2.2000000000000002</v>
      </c>
      <c r="G76" s="30">
        <f t="shared" ca="1" si="60"/>
        <v>2.2000000000000002</v>
      </c>
      <c r="H76" s="30">
        <f t="shared" ca="1" si="60"/>
        <v>2.2999999999999998</v>
      </c>
      <c r="I76" s="30">
        <f t="shared" ca="1" si="60"/>
        <v>2.2000000000000002</v>
      </c>
      <c r="J76" s="30">
        <f t="shared" ca="1" si="60"/>
        <v>2.2000000000000002</v>
      </c>
      <c r="K76" s="30">
        <f t="shared" ca="1" si="60"/>
        <v>2.4</v>
      </c>
      <c r="L76" s="30">
        <f t="shared" ca="1" si="60"/>
        <v>2.6</v>
      </c>
      <c r="M76" s="30">
        <f t="shared" ca="1" si="60"/>
        <v>2.5</v>
      </c>
      <c r="N76" s="30">
        <f t="shared" ref="N76:O76" ca="1" si="61">IF(N12="X","X",IF(N12=0,"-",ROUND(N12/N$26*100,1)))</f>
        <v>2</v>
      </c>
      <c r="O76" s="30">
        <f t="shared" ca="1" si="61"/>
        <v>2</v>
      </c>
      <c r="Q76" s="63">
        <f t="shared" ca="1" si="46"/>
        <v>10.363838576421989</v>
      </c>
      <c r="R76" s="72" t="s">
        <v>59</v>
      </c>
      <c r="S76" s="216">
        <f ca="1">HLOOKUP(コード表!$K$108,地域分析BD!$C$4:$O$29,11,FALSE)</f>
        <v>150029</v>
      </c>
      <c r="T76" s="207">
        <v>9</v>
      </c>
      <c r="U76" s="213" t="str">
        <f t="shared" ca="1" si="47"/>
        <v>建設業
4.4％</v>
      </c>
      <c r="V76" s="210">
        <f ca="1">LARGE($Q$68:$Q$85,9)</f>
        <v>4.3692405465522723</v>
      </c>
    </row>
    <row r="77" spans="1:22" ht="16.5" customHeight="1">
      <c r="A77" s="114" t="s">
        <v>15</v>
      </c>
      <c r="B77" s="99" t="s">
        <v>58</v>
      </c>
      <c r="C77" s="53">
        <f t="shared" ref="C77:M77" ca="1" si="62">IF(C13="X","X",IF(C13=0,"-",ROUND(C13/C$26*100,1)))</f>
        <v>9.4</v>
      </c>
      <c r="D77" s="30">
        <f t="shared" ca="1" si="62"/>
        <v>9.6</v>
      </c>
      <c r="E77" s="30">
        <f t="shared" ca="1" si="62"/>
        <v>9.8000000000000007</v>
      </c>
      <c r="F77" s="30">
        <f t="shared" ca="1" si="62"/>
        <v>9.4</v>
      </c>
      <c r="G77" s="30">
        <f t="shared" ca="1" si="62"/>
        <v>9.1</v>
      </c>
      <c r="H77" s="30">
        <f t="shared" ca="1" si="62"/>
        <v>8.6999999999999993</v>
      </c>
      <c r="I77" s="30">
        <f t="shared" ca="1" si="62"/>
        <v>8.9</v>
      </c>
      <c r="J77" s="30">
        <f t="shared" ca="1" si="62"/>
        <v>8.8000000000000007</v>
      </c>
      <c r="K77" s="30">
        <f t="shared" ca="1" si="62"/>
        <v>8.6999999999999993</v>
      </c>
      <c r="L77" s="30">
        <f t="shared" ca="1" si="62"/>
        <v>8.9</v>
      </c>
      <c r="M77" s="30">
        <f t="shared" ca="1" si="62"/>
        <v>8.9</v>
      </c>
      <c r="N77" s="30">
        <f t="shared" ref="N77:O77" ca="1" si="63">IF(N13="X","X",IF(N13=0,"-",ROUND(N13/N$26*100,1)))</f>
        <v>8.9</v>
      </c>
      <c r="O77" s="30">
        <f t="shared" ca="1" si="63"/>
        <v>8.8000000000000007</v>
      </c>
      <c r="Q77" s="63">
        <f t="shared" ca="1" si="46"/>
        <v>4.3530070046006548</v>
      </c>
      <c r="R77" s="72" t="s">
        <v>60</v>
      </c>
      <c r="S77" s="216">
        <f ca="1">HLOOKUP(コード表!$K$108,地域分析BD!$C$4:$O$29,12,FALSE)</f>
        <v>63015</v>
      </c>
      <c r="T77" s="207">
        <v>10</v>
      </c>
      <c r="U77" s="214" t="str">
        <f t="shared" ca="1" si="47"/>
        <v>宿泊・飲食サービス業
4.4％</v>
      </c>
      <c r="V77" s="211">
        <f ca="1">LARGE($Q$68:$Q$85,10)</f>
        <v>4.3530070046006548</v>
      </c>
    </row>
    <row r="78" spans="1:22" ht="16.5" customHeight="1">
      <c r="A78" s="114" t="s">
        <v>16</v>
      </c>
      <c r="B78" s="99" t="s">
        <v>59</v>
      </c>
      <c r="C78" s="53">
        <f t="shared" ref="C78:M78" ca="1" si="64">IF(C14="X","X",IF(C14=0,"-",ROUND(C14/C$26*100,1)))</f>
        <v>11.5</v>
      </c>
      <c r="D78" s="30">
        <f t="shared" ca="1" si="64"/>
        <v>10.4</v>
      </c>
      <c r="E78" s="30">
        <f t="shared" ca="1" si="64"/>
        <v>11.3</v>
      </c>
      <c r="F78" s="30">
        <f t="shared" ca="1" si="64"/>
        <v>10.5</v>
      </c>
      <c r="G78" s="30">
        <f t="shared" ca="1" si="64"/>
        <v>10.5</v>
      </c>
      <c r="H78" s="30">
        <f t="shared" ca="1" si="64"/>
        <v>11</v>
      </c>
      <c r="I78" s="30">
        <f t="shared" ca="1" si="64"/>
        <v>10.8</v>
      </c>
      <c r="J78" s="30">
        <f t="shared" ca="1" si="64"/>
        <v>10.8</v>
      </c>
      <c r="K78" s="30">
        <f t="shared" ca="1" si="64"/>
        <v>10.4</v>
      </c>
      <c r="L78" s="30">
        <f t="shared" ca="1" si="64"/>
        <v>5.8</v>
      </c>
      <c r="M78" s="30">
        <f t="shared" ca="1" si="64"/>
        <v>5.9</v>
      </c>
      <c r="N78" s="30">
        <f t="shared" ref="N78:O78" ca="1" si="65">IF(N14="X","X",IF(N14=0,"-",ROUND(N14/N$26*100,1)))</f>
        <v>7.7</v>
      </c>
      <c r="O78" s="30">
        <f t="shared" ca="1" si="65"/>
        <v>10.4</v>
      </c>
      <c r="Q78" s="63">
        <f t="shared" ca="1" si="46"/>
        <v>6.5718213343280691</v>
      </c>
      <c r="R78" s="64" t="s">
        <v>61</v>
      </c>
      <c r="S78" s="216">
        <f ca="1">HLOOKUP(コード表!$K$108,地域分析BD!$C$4:$O$29,13,FALSE)</f>
        <v>95135</v>
      </c>
      <c r="T78" s="207" t="s">
        <v>250</v>
      </c>
      <c r="U78" s="208" t="str">
        <f ca="1">"その他"&amp;CHAR(10)&amp;TEXT(V78,"0.0")&amp;"％"</f>
        <v>その他
10.4％</v>
      </c>
      <c r="V78" s="211">
        <f ca="1">Q86-SUM(V68:V77)</f>
        <v>10.418341830038258</v>
      </c>
    </row>
    <row r="79" spans="1:22" ht="16.5" customHeight="1">
      <c r="A79" s="18">
        <v>10</v>
      </c>
      <c r="B79" s="99" t="s">
        <v>60</v>
      </c>
      <c r="C79" s="53">
        <f t="shared" ref="C79:M79" ca="1" si="66">IF(C15="X","X",IF(C15=0,"-",ROUND(C15/C$26*100,1)))</f>
        <v>4.2</v>
      </c>
      <c r="D79" s="30">
        <f t="shared" ca="1" si="66"/>
        <v>4.0999999999999996</v>
      </c>
      <c r="E79" s="30">
        <f t="shared" ca="1" si="66"/>
        <v>4.0999999999999996</v>
      </c>
      <c r="F79" s="30">
        <f t="shared" ca="1" si="66"/>
        <v>3.9</v>
      </c>
      <c r="G79" s="30">
        <f t="shared" ca="1" si="66"/>
        <v>3.9</v>
      </c>
      <c r="H79" s="30">
        <f t="shared" ca="1" si="66"/>
        <v>4.2</v>
      </c>
      <c r="I79" s="30">
        <f t="shared" ca="1" si="66"/>
        <v>4.3</v>
      </c>
      <c r="J79" s="30">
        <f t="shared" ca="1" si="66"/>
        <v>4.3</v>
      </c>
      <c r="K79" s="30">
        <f t="shared" ca="1" si="66"/>
        <v>4</v>
      </c>
      <c r="L79" s="30">
        <f t="shared" ca="1" si="66"/>
        <v>2.6</v>
      </c>
      <c r="M79" s="30">
        <f t="shared" ca="1" si="66"/>
        <v>2.4</v>
      </c>
      <c r="N79" s="30">
        <f t="shared" ref="N79:O79" ca="1" si="67">IF(N15="X","X",IF(N15=0,"-",ROUND(N15/N$26*100,1)))</f>
        <v>3.4</v>
      </c>
      <c r="O79" s="30">
        <f t="shared" ca="1" si="67"/>
        <v>4.4000000000000004</v>
      </c>
      <c r="Q79" s="63">
        <f t="shared" ca="1" si="46"/>
        <v>7.5821002749340298</v>
      </c>
      <c r="R79" s="64" t="s">
        <v>62</v>
      </c>
      <c r="S79" s="216">
        <f ca="1">HLOOKUP(コード表!$K$108,地域分析BD!$C$4:$O$29,14,FALSE)</f>
        <v>109760</v>
      </c>
      <c r="T79" s="205"/>
      <c r="U79" s="206"/>
      <c r="V79" s="221" t="str">
        <f ca="1">IF(SUM(V68:V78)=Q86,"OK","NG")</f>
        <v>OK</v>
      </c>
    </row>
    <row r="80" spans="1:22" ht="16.5" customHeight="1">
      <c r="A80" s="18">
        <v>11</v>
      </c>
      <c r="B80" s="99" t="s">
        <v>61</v>
      </c>
      <c r="C80" s="53">
        <f t="shared" ref="C80:M80" ca="1" si="68">IF(C16="X","X",IF(C16=0,"-",ROUND(C16/C$26*100,1)))</f>
        <v>9.4</v>
      </c>
      <c r="D80" s="30">
        <f t="shared" ca="1" si="68"/>
        <v>8.9</v>
      </c>
      <c r="E80" s="30">
        <f t="shared" ca="1" si="68"/>
        <v>8.6</v>
      </c>
      <c r="F80" s="30">
        <f t="shared" ca="1" si="68"/>
        <v>7.7</v>
      </c>
      <c r="G80" s="30">
        <f t="shared" ca="1" si="68"/>
        <v>7.7</v>
      </c>
      <c r="H80" s="30">
        <f t="shared" ca="1" si="68"/>
        <v>7.9</v>
      </c>
      <c r="I80" s="30">
        <f t="shared" ca="1" si="68"/>
        <v>7.6</v>
      </c>
      <c r="J80" s="30">
        <f t="shared" ca="1" si="68"/>
        <v>7.8</v>
      </c>
      <c r="K80" s="30">
        <f t="shared" ca="1" si="68"/>
        <v>7.4</v>
      </c>
      <c r="L80" s="30">
        <f t="shared" ca="1" si="68"/>
        <v>8.1</v>
      </c>
      <c r="M80" s="30">
        <f t="shared" ca="1" si="68"/>
        <v>7.2</v>
      </c>
      <c r="N80" s="30">
        <f t="shared" ref="N80:O80" ca="1" si="69">IF(N16="X","X",IF(N16=0,"-",ROUND(N16/N$26*100,1)))</f>
        <v>6.8</v>
      </c>
      <c r="O80" s="30">
        <f t="shared" ca="1" si="69"/>
        <v>6.6</v>
      </c>
      <c r="Q80" s="63">
        <f t="shared" ca="1" si="46"/>
        <v>10.667716665975878</v>
      </c>
      <c r="R80" s="64" t="s">
        <v>63</v>
      </c>
      <c r="S80" s="216">
        <f ca="1">HLOOKUP(コード表!$K$108,地域分析BD!$C$4:$O$29,15,FALSE)</f>
        <v>154428</v>
      </c>
      <c r="T80" s="205"/>
      <c r="U80" s="206"/>
    </row>
    <row r="81" spans="1:21" ht="16.5" customHeight="1">
      <c r="A81" s="18">
        <v>12</v>
      </c>
      <c r="B81" s="99" t="s">
        <v>62</v>
      </c>
      <c r="C81" s="53">
        <f t="shared" ref="C81:M81" ca="1" si="70">IF(C17="X","X",IF(C17=0,"-",ROUND(C17/C$26*100,1)))</f>
        <v>7.5</v>
      </c>
      <c r="D81" s="30">
        <f t="shared" ca="1" si="70"/>
        <v>7.3</v>
      </c>
      <c r="E81" s="30">
        <f t="shared" ca="1" si="70"/>
        <v>7.4</v>
      </c>
      <c r="F81" s="30">
        <f t="shared" ca="1" si="70"/>
        <v>7.1</v>
      </c>
      <c r="G81" s="30">
        <f t="shared" ca="1" si="70"/>
        <v>6.9</v>
      </c>
      <c r="H81" s="30">
        <f t="shared" ca="1" si="70"/>
        <v>6.1</v>
      </c>
      <c r="I81" s="30">
        <f t="shared" ca="1" si="70"/>
        <v>6.1</v>
      </c>
      <c r="J81" s="30">
        <f t="shared" ca="1" si="70"/>
        <v>6.3</v>
      </c>
      <c r="K81" s="30">
        <f t="shared" ca="1" si="70"/>
        <v>6.6</v>
      </c>
      <c r="L81" s="30">
        <f t="shared" ca="1" si="70"/>
        <v>7.1</v>
      </c>
      <c r="M81" s="30">
        <f t="shared" ca="1" si="70"/>
        <v>6.9</v>
      </c>
      <c r="N81" s="30">
        <f t="shared" ref="N81:O81" ca="1" si="71">IF(N17="X","X",IF(N17=0,"-",ROUND(N17/N$26*100,1)))</f>
        <v>7.6</v>
      </c>
      <c r="O81" s="30">
        <f t="shared" ca="1" si="71"/>
        <v>7.6</v>
      </c>
      <c r="Q81" s="63">
        <f t="shared" ca="1" si="46"/>
        <v>13.834362608971967</v>
      </c>
      <c r="R81" s="72" t="s">
        <v>257</v>
      </c>
      <c r="S81" s="216">
        <f ca="1">HLOOKUP(コード表!$K$108,地域分析BD!$C$4:$O$29,16,FALSE)</f>
        <v>200269</v>
      </c>
      <c r="T81" s="205"/>
      <c r="U81" s="206"/>
    </row>
    <row r="82" spans="1:21" ht="16.5" customHeight="1">
      <c r="A82" s="18">
        <v>13</v>
      </c>
      <c r="B82" s="99" t="s">
        <v>63</v>
      </c>
      <c r="C82" s="53">
        <f t="shared" ref="C82:M82" ca="1" si="72">IF(C18="X","X",IF(C18=0,"-",ROUND(C18/C$26*100,1)))</f>
        <v>10.3</v>
      </c>
      <c r="D82" s="30">
        <f t="shared" ca="1" si="72"/>
        <v>10.3</v>
      </c>
      <c r="E82" s="30">
        <f t="shared" ca="1" si="72"/>
        <v>10.199999999999999</v>
      </c>
      <c r="F82" s="30">
        <f t="shared" ca="1" si="72"/>
        <v>10.3</v>
      </c>
      <c r="G82" s="30">
        <f t="shared" ca="1" si="72"/>
        <v>9.9</v>
      </c>
      <c r="H82" s="30">
        <f t="shared" ca="1" si="72"/>
        <v>9.6</v>
      </c>
      <c r="I82" s="30">
        <f t="shared" ca="1" si="72"/>
        <v>9.9</v>
      </c>
      <c r="J82" s="30">
        <f t="shared" ca="1" si="72"/>
        <v>9.8000000000000007</v>
      </c>
      <c r="K82" s="30">
        <f t="shared" ca="1" si="72"/>
        <v>10.199999999999999</v>
      </c>
      <c r="L82" s="30">
        <f t="shared" ca="1" si="72"/>
        <v>11.6</v>
      </c>
      <c r="M82" s="30">
        <f t="shared" ca="1" si="72"/>
        <v>11.4</v>
      </c>
      <c r="N82" s="30">
        <f t="shared" ref="N82:O82" ca="1" si="73">IF(N18="X","X",IF(N18=0,"-",ROUND(N18/N$26*100,1)))</f>
        <v>11.5</v>
      </c>
      <c r="O82" s="30">
        <f t="shared" ca="1" si="73"/>
        <v>10.7</v>
      </c>
      <c r="Q82" s="63">
        <f t="shared" ca="1" si="46"/>
        <v>14.764717260054432</v>
      </c>
      <c r="R82" s="64" t="s">
        <v>65</v>
      </c>
      <c r="S82" s="216">
        <f ca="1">HLOOKUP(コード表!$K$108,地域分析BD!$C$4:$O$29,17,FALSE)</f>
        <v>213737</v>
      </c>
      <c r="T82" s="205"/>
      <c r="U82" s="206"/>
    </row>
    <row r="83" spans="1:21" ht="16.5" customHeight="1">
      <c r="A83" s="18">
        <v>14</v>
      </c>
      <c r="B83" s="99" t="s">
        <v>64</v>
      </c>
      <c r="C83" s="53">
        <f t="shared" ref="C83:M83" ca="1" si="74">IF(C19="X","X",IF(C19=0,"-",ROUND(C19/C$26*100,1)))</f>
        <v>11.1</v>
      </c>
      <c r="D83" s="30">
        <f t="shared" ca="1" si="74"/>
        <v>11.8</v>
      </c>
      <c r="E83" s="30">
        <f t="shared" ca="1" si="74"/>
        <v>12.1</v>
      </c>
      <c r="F83" s="30">
        <f t="shared" ca="1" si="74"/>
        <v>12.2</v>
      </c>
      <c r="G83" s="30">
        <f t="shared" ca="1" si="74"/>
        <v>12.9</v>
      </c>
      <c r="H83" s="30">
        <f t="shared" ca="1" si="74"/>
        <v>13.6</v>
      </c>
      <c r="I83" s="30">
        <f t="shared" ca="1" si="74"/>
        <v>13.1</v>
      </c>
      <c r="J83" s="30">
        <f t="shared" ca="1" si="74"/>
        <v>12.9</v>
      </c>
      <c r="K83" s="30">
        <f t="shared" ca="1" si="74"/>
        <v>12.8</v>
      </c>
      <c r="L83" s="30">
        <f t="shared" ca="1" si="74"/>
        <v>14.1</v>
      </c>
      <c r="M83" s="30">
        <f t="shared" ca="1" si="74"/>
        <v>14.7</v>
      </c>
      <c r="N83" s="30">
        <f t="shared" ref="N83:O83" ca="1" si="75">IF(N19="X","X",IF(N19=0,"-",ROUND(N19/N$26*100,1)))</f>
        <v>15</v>
      </c>
      <c r="O83" s="30">
        <f t="shared" ca="1" si="75"/>
        <v>13.8</v>
      </c>
      <c r="Q83" s="63">
        <f t="shared" ca="1" si="46"/>
        <v>3.0872052057860486</v>
      </c>
      <c r="R83" s="64" t="s">
        <v>66</v>
      </c>
      <c r="S83" s="216">
        <f ca="1">HLOOKUP(コード表!$K$108,地域分析BD!$C$4:$O$29,18,FALSE)</f>
        <v>44691</v>
      </c>
      <c r="T83" s="205"/>
      <c r="U83" s="206"/>
    </row>
    <row r="84" spans="1:21" ht="16.5" customHeight="1">
      <c r="A84" s="18">
        <v>15</v>
      </c>
      <c r="B84" s="99" t="s">
        <v>65</v>
      </c>
      <c r="C84" s="53">
        <f t="shared" ref="C84:M84" ca="1" si="76">IF(C20="X","X",IF(C20=0,"-",ROUND(C20/C$26*100,1)))</f>
        <v>14.3</v>
      </c>
      <c r="D84" s="30">
        <f t="shared" ca="1" si="76"/>
        <v>14.3</v>
      </c>
      <c r="E84" s="30">
        <f t="shared" ca="1" si="76"/>
        <v>13.7</v>
      </c>
      <c r="F84" s="30">
        <f t="shared" ca="1" si="76"/>
        <v>14.2</v>
      </c>
      <c r="G84" s="30">
        <f t="shared" ca="1" si="76"/>
        <v>14.2</v>
      </c>
      <c r="H84" s="30">
        <f t="shared" ca="1" si="76"/>
        <v>13.9</v>
      </c>
      <c r="I84" s="30">
        <f t="shared" ca="1" si="76"/>
        <v>14.1</v>
      </c>
      <c r="J84" s="30">
        <f t="shared" ca="1" si="76"/>
        <v>14.4</v>
      </c>
      <c r="K84" s="30">
        <f t="shared" ca="1" si="76"/>
        <v>15.2</v>
      </c>
      <c r="L84" s="30">
        <f t="shared" ca="1" si="76"/>
        <v>15.7</v>
      </c>
      <c r="M84" s="30">
        <f t="shared" ca="1" si="76"/>
        <v>15.1</v>
      </c>
      <c r="N84" s="30">
        <f t="shared" ref="N84:O84" ca="1" si="77">IF(N20="X","X",IF(N20=0,"-",ROUND(N20/N$26*100,1)))</f>
        <v>14.9</v>
      </c>
      <c r="O84" s="30">
        <f t="shared" ca="1" si="77"/>
        <v>14.8</v>
      </c>
      <c r="Q84" s="63">
        <f t="shared" ca="1" si="46"/>
        <v>8.9933822411958939</v>
      </c>
      <c r="R84" s="72" t="s">
        <v>67</v>
      </c>
      <c r="S84" s="216">
        <f ca="1">HLOOKUP(コード表!$K$108,地域分析BD!$C$4:$O$29,19,FALSE)</f>
        <v>130190</v>
      </c>
      <c r="T84" s="205"/>
      <c r="U84" s="206"/>
    </row>
    <row r="85" spans="1:21" ht="16.5" customHeight="1">
      <c r="A85" s="18">
        <v>16</v>
      </c>
      <c r="B85" s="99" t="s">
        <v>66</v>
      </c>
      <c r="C85" s="53">
        <f t="shared" ref="C85:M85" ca="1" si="78">IF(C21="X","X",IF(C21=0,"-",ROUND(C21/C$26*100,1)))</f>
        <v>3.2</v>
      </c>
      <c r="D85" s="30">
        <f t="shared" ca="1" si="78"/>
        <v>3.2</v>
      </c>
      <c r="E85" s="30">
        <f t="shared" ca="1" si="78"/>
        <v>3</v>
      </c>
      <c r="F85" s="30">
        <f t="shared" ca="1" si="78"/>
        <v>2.9</v>
      </c>
      <c r="G85" s="30">
        <f t="shared" ca="1" si="78"/>
        <v>2.9</v>
      </c>
      <c r="H85" s="30">
        <f t="shared" ca="1" si="78"/>
        <v>2.8</v>
      </c>
      <c r="I85" s="30">
        <f t="shared" ca="1" si="78"/>
        <v>2.8</v>
      </c>
      <c r="J85" s="30">
        <f t="shared" ca="1" si="78"/>
        <v>2.9</v>
      </c>
      <c r="K85" s="30">
        <f t="shared" ca="1" si="78"/>
        <v>2.9</v>
      </c>
      <c r="L85" s="30">
        <f t="shared" ca="1" si="78"/>
        <v>3.3</v>
      </c>
      <c r="M85" s="30">
        <f t="shared" ca="1" si="78"/>
        <v>3.3</v>
      </c>
      <c r="N85" s="30">
        <f t="shared" ref="N85:O85" ca="1" si="79">IF(N21="X","X",IF(N21=0,"-",ROUND(N21/N$26*100,1)))</f>
        <v>3.3</v>
      </c>
      <c r="O85" s="30">
        <f t="shared" ca="1" si="79"/>
        <v>3.1</v>
      </c>
      <c r="Q85" s="63">
        <f t="shared" ca="1" si="46"/>
        <v>4.0614940384907641</v>
      </c>
      <c r="R85" s="74" t="s">
        <v>68</v>
      </c>
      <c r="S85" s="217">
        <f ca="1">HLOOKUP(コード表!$K$108,地域分析BD!$C$4:$O$29,20,FALSE)</f>
        <v>58795</v>
      </c>
      <c r="T85" s="205"/>
      <c r="U85" s="206"/>
    </row>
    <row r="86" spans="1:21" ht="16.5" customHeight="1">
      <c r="A86" s="18">
        <v>17</v>
      </c>
      <c r="B86" s="99" t="s">
        <v>67</v>
      </c>
      <c r="C86" s="53">
        <f t="shared" ref="C86:M86" ca="1" si="80">IF(C22="X","X",IF(C22=0,"-",ROUND(C22/C$26*100,1)))</f>
        <v>7.2</v>
      </c>
      <c r="D86" s="30">
        <f t="shared" ca="1" si="80"/>
        <v>7.6</v>
      </c>
      <c r="E86" s="30">
        <f t="shared" ca="1" si="80"/>
        <v>7.7</v>
      </c>
      <c r="F86" s="30">
        <f t="shared" ca="1" si="80"/>
        <v>7.5</v>
      </c>
      <c r="G86" s="30">
        <f t="shared" ca="1" si="80"/>
        <v>8</v>
      </c>
      <c r="H86" s="30">
        <f t="shared" ca="1" si="80"/>
        <v>8</v>
      </c>
      <c r="I86" s="30">
        <f t="shared" ca="1" si="80"/>
        <v>8.1</v>
      </c>
      <c r="J86" s="30">
        <f t="shared" ca="1" si="80"/>
        <v>8.3000000000000007</v>
      </c>
      <c r="K86" s="30">
        <f t="shared" ca="1" si="80"/>
        <v>8.6999999999999993</v>
      </c>
      <c r="L86" s="30">
        <f t="shared" ca="1" si="80"/>
        <v>9.6999999999999993</v>
      </c>
      <c r="M86" s="30">
        <f t="shared" ca="1" si="80"/>
        <v>9.6</v>
      </c>
      <c r="N86" s="30">
        <f t="shared" ref="N86:O86" ca="1" si="81">IF(N22="X","X",IF(N22=0,"-",ROUND(N22/N$26*100,1)))</f>
        <v>9.4</v>
      </c>
      <c r="O86" s="30">
        <f t="shared" ca="1" si="81"/>
        <v>9</v>
      </c>
      <c r="Q86" s="67">
        <f t="shared" ca="1" si="46"/>
        <v>100.70108177560408</v>
      </c>
      <c r="R86" s="74" t="s">
        <v>70</v>
      </c>
      <c r="S86" s="217">
        <f ca="1">HLOOKUP(コード表!$K$108,地域分析BD!$C$4:$O$29,21,FALSE)</f>
        <v>1457769</v>
      </c>
    </row>
    <row r="87" spans="1:21" ht="16.5" customHeight="1" thickBot="1">
      <c r="A87" s="18">
        <v>18</v>
      </c>
      <c r="B87" s="99" t="s">
        <v>68</v>
      </c>
      <c r="C87" s="54">
        <f t="shared" ref="C87:M87" ca="1" si="82">IF(C23="X","X",IF(C23=0,"-",ROUND(C23/C$26*100,1)))</f>
        <v>4.8</v>
      </c>
      <c r="D87" s="32">
        <f t="shared" ca="1" si="82"/>
        <v>5</v>
      </c>
      <c r="E87" s="32">
        <f t="shared" ca="1" si="82"/>
        <v>4.8</v>
      </c>
      <c r="F87" s="32">
        <f t="shared" ca="1" si="82"/>
        <v>4.5999999999999996</v>
      </c>
      <c r="G87" s="32">
        <f t="shared" ca="1" si="82"/>
        <v>4.5</v>
      </c>
      <c r="H87" s="32">
        <f t="shared" ca="1" si="82"/>
        <v>4.3</v>
      </c>
      <c r="I87" s="32">
        <f t="shared" ca="1" si="82"/>
        <v>4.3</v>
      </c>
      <c r="J87" s="32">
        <f t="shared" ca="1" si="82"/>
        <v>4.2</v>
      </c>
      <c r="K87" s="32">
        <f t="shared" ca="1" si="82"/>
        <v>4.0999999999999996</v>
      </c>
      <c r="L87" s="32">
        <f t="shared" ca="1" si="82"/>
        <v>4.2</v>
      </c>
      <c r="M87" s="32">
        <f t="shared" ca="1" si="82"/>
        <v>4.4000000000000004</v>
      </c>
      <c r="N87" s="32">
        <f t="shared" ref="N87:O87" ca="1" si="83">IF(N23="X","X",IF(N23=0,"-",ROUND(N23/N$26*100,1)))</f>
        <v>4.4000000000000004</v>
      </c>
      <c r="O87" s="32">
        <f t="shared" ca="1" si="83"/>
        <v>4.0999999999999996</v>
      </c>
      <c r="Q87" s="218">
        <f t="shared" ca="1" si="46"/>
        <v>-0.70108177560409501</v>
      </c>
      <c r="R87" s="219" t="s">
        <v>100</v>
      </c>
      <c r="S87" s="220">
        <f ca="1">HLOOKUP(コード表!$K$108,地域分析BD!$C$4:$O$29,22,FALSE)</f>
        <v>-10149</v>
      </c>
    </row>
    <row r="88" spans="1:21" ht="16.5" customHeight="1" thickTop="1">
      <c r="A88" s="33">
        <v>19</v>
      </c>
      <c r="B88" s="98" t="s">
        <v>70</v>
      </c>
      <c r="C88" s="51">
        <f t="shared" ref="C88:M88" ca="1" si="84">IF(C24="X","X",IF(C24=0,"-",ROUND(C24/C$26*100,1)))</f>
        <v>99.9</v>
      </c>
      <c r="D88" s="29">
        <f t="shared" ca="1" si="84"/>
        <v>99.9</v>
      </c>
      <c r="E88" s="29">
        <f t="shared" ca="1" si="84"/>
        <v>99.9</v>
      </c>
      <c r="F88" s="29">
        <f t="shared" ca="1" si="84"/>
        <v>100.1</v>
      </c>
      <c r="G88" s="29">
        <f t="shared" ca="1" si="84"/>
        <v>100.4</v>
      </c>
      <c r="H88" s="29">
        <f t="shared" ca="1" si="84"/>
        <v>100.5</v>
      </c>
      <c r="I88" s="29">
        <f t="shared" ca="1" si="84"/>
        <v>100.6</v>
      </c>
      <c r="J88" s="29">
        <f t="shared" ca="1" si="84"/>
        <v>100.6</v>
      </c>
      <c r="K88" s="29">
        <f t="shared" ca="1" si="84"/>
        <v>100.7</v>
      </c>
      <c r="L88" s="29">
        <f t="shared" ca="1" si="84"/>
        <v>100.7</v>
      </c>
      <c r="M88" s="29">
        <f t="shared" ca="1" si="84"/>
        <v>100.8</v>
      </c>
      <c r="N88" s="29">
        <f t="shared" ref="N88:O88" ca="1" si="85">IF(N24="X","X",IF(N24=0,"-",ROUND(N24/N$26*100,1)))</f>
        <v>100.7</v>
      </c>
      <c r="O88" s="29">
        <f t="shared" ca="1" si="85"/>
        <v>100.7</v>
      </c>
      <c r="Q88" s="65">
        <f t="shared" ca="1" si="46"/>
        <v>100</v>
      </c>
      <c r="R88" s="74" t="s">
        <v>119</v>
      </c>
      <c r="S88" s="217">
        <f ca="1">HLOOKUP(コード表!$K$108,地域分析BD!$C$4:$O$29,23,FALSE)</f>
        <v>1447620</v>
      </c>
    </row>
    <row r="89" spans="1:21" ht="16.5" customHeight="1" thickBot="1">
      <c r="A89" s="60">
        <v>20</v>
      </c>
      <c r="B89" s="101" t="s">
        <v>100</v>
      </c>
      <c r="C89" s="164">
        <f t="shared" ref="C89:M89" ca="1" si="86">IF(C25="X","X",IF(C25=0,"-",ROUND(C25/C$26*100,1)))</f>
        <v>0.1</v>
      </c>
      <c r="D89" s="162">
        <f t="shared" ca="1" si="86"/>
        <v>0.1</v>
      </c>
      <c r="E89" s="162">
        <f t="shared" ca="1" si="86"/>
        <v>0.1</v>
      </c>
      <c r="F89" s="162">
        <f t="shared" ca="1" si="86"/>
        <v>-0.1</v>
      </c>
      <c r="G89" s="162">
        <f t="shared" ca="1" si="86"/>
        <v>-0.4</v>
      </c>
      <c r="H89" s="162">
        <f t="shared" ca="1" si="86"/>
        <v>-0.5</v>
      </c>
      <c r="I89" s="162">
        <f t="shared" ca="1" si="86"/>
        <v>-0.6</v>
      </c>
      <c r="J89" s="162">
        <f t="shared" ca="1" si="86"/>
        <v>-0.6</v>
      </c>
      <c r="K89" s="162">
        <f t="shared" ca="1" si="86"/>
        <v>-0.7</v>
      </c>
      <c r="L89" s="162">
        <f t="shared" ca="1" si="86"/>
        <v>-0.7</v>
      </c>
      <c r="M89" s="162">
        <f t="shared" ca="1" si="86"/>
        <v>-0.8</v>
      </c>
      <c r="N89" s="162">
        <f t="shared" ref="N89:O89" ca="1" si="87">IF(N25="X","X",IF(N25=0,"-",ROUND(N25/N$26*100,1)))</f>
        <v>-0.7</v>
      </c>
      <c r="O89" s="162">
        <f t="shared" ca="1" si="87"/>
        <v>-0.7</v>
      </c>
    </row>
    <row r="90" spans="1:21" ht="16.5" customHeight="1" thickTop="1">
      <c r="A90" s="18">
        <v>21</v>
      </c>
      <c r="B90" s="99" t="s">
        <v>119</v>
      </c>
      <c r="C90" s="54">
        <f t="shared" ref="C90:M90" ca="1" si="88">IF(C26="X","X",IF(C26=0,"-",ROUND(C26/C$26*100,1)))</f>
        <v>100</v>
      </c>
      <c r="D90" s="32">
        <f t="shared" ca="1" si="88"/>
        <v>100</v>
      </c>
      <c r="E90" s="32">
        <f t="shared" ca="1" si="88"/>
        <v>100</v>
      </c>
      <c r="F90" s="32">
        <f t="shared" ca="1" si="88"/>
        <v>100</v>
      </c>
      <c r="G90" s="32">
        <f t="shared" ca="1" si="88"/>
        <v>100</v>
      </c>
      <c r="H90" s="32">
        <f t="shared" ca="1" si="88"/>
        <v>100</v>
      </c>
      <c r="I90" s="32">
        <f t="shared" ca="1" si="88"/>
        <v>100</v>
      </c>
      <c r="J90" s="32">
        <f t="shared" ca="1" si="88"/>
        <v>100</v>
      </c>
      <c r="K90" s="32">
        <f t="shared" ca="1" si="88"/>
        <v>100</v>
      </c>
      <c r="L90" s="32">
        <f t="shared" ca="1" si="88"/>
        <v>100</v>
      </c>
      <c r="M90" s="32">
        <f t="shared" ca="1" si="88"/>
        <v>100</v>
      </c>
      <c r="N90" s="32">
        <f t="shared" ref="N90:O90" ca="1" si="89">IF(N26="X","X",IF(N26=0,"-",ROUND(N26/N$26*100,1)))</f>
        <v>100</v>
      </c>
      <c r="O90" s="32">
        <f t="shared" ca="1" si="89"/>
        <v>100</v>
      </c>
    </row>
    <row r="91" spans="1:21" ht="16.5" customHeight="1">
      <c r="A91" s="115" t="s">
        <v>158</v>
      </c>
      <c r="B91" s="116" t="s">
        <v>72</v>
      </c>
      <c r="C91" s="53">
        <f t="shared" ref="C91:M91" ca="1" si="90">IF(C27="X","X",IF(C27=0,"-",ROUND(C27/C$26*100,1)))</f>
        <v>0.1</v>
      </c>
      <c r="D91" s="30">
        <f t="shared" ca="1" si="90"/>
        <v>0.2</v>
      </c>
      <c r="E91" s="30">
        <f t="shared" ca="1" si="90"/>
        <v>0.2</v>
      </c>
      <c r="F91" s="30">
        <f t="shared" ca="1" si="90"/>
        <v>0.2</v>
      </c>
      <c r="G91" s="30">
        <f t="shared" ca="1" si="90"/>
        <v>0.2</v>
      </c>
      <c r="H91" s="30">
        <f t="shared" ca="1" si="90"/>
        <v>0.2</v>
      </c>
      <c r="I91" s="30">
        <f t="shared" ca="1" si="90"/>
        <v>0.2</v>
      </c>
      <c r="J91" s="30">
        <f t="shared" ca="1" si="90"/>
        <v>0.2</v>
      </c>
      <c r="K91" s="30">
        <f t="shared" ca="1" si="90"/>
        <v>0.2</v>
      </c>
      <c r="L91" s="30">
        <f t="shared" ca="1" si="90"/>
        <v>0.2</v>
      </c>
      <c r="M91" s="30">
        <f t="shared" ca="1" si="90"/>
        <v>0.2</v>
      </c>
      <c r="N91" s="30">
        <f t="shared" ref="N91:O91" ca="1" si="91">IF(N27="X","X",IF(N27=0,"-",ROUND(N27/N$26*100,1)))</f>
        <v>0.1</v>
      </c>
      <c r="O91" s="30">
        <f t="shared" ca="1" si="91"/>
        <v>0.2</v>
      </c>
    </row>
    <row r="92" spans="1:21" ht="16.5" customHeight="1">
      <c r="A92" s="118" t="s">
        <v>147</v>
      </c>
      <c r="B92" s="99" t="s">
        <v>73</v>
      </c>
      <c r="C92" s="53">
        <f t="shared" ref="C92:M92" ca="1" si="92">IF(C28="X","X",IF(C28=0,"-",ROUND(C28/C$26*100,1)))</f>
        <v>4.9000000000000004</v>
      </c>
      <c r="D92" s="30">
        <f t="shared" ca="1" si="92"/>
        <v>5.2</v>
      </c>
      <c r="E92" s="30">
        <f t="shared" ca="1" si="92"/>
        <v>5.4</v>
      </c>
      <c r="F92" s="30">
        <f t="shared" ca="1" si="92"/>
        <v>7.3</v>
      </c>
      <c r="G92" s="30">
        <f t="shared" ca="1" si="92"/>
        <v>7.6</v>
      </c>
      <c r="H92" s="30">
        <f t="shared" ca="1" si="92"/>
        <v>8.1</v>
      </c>
      <c r="I92" s="30">
        <f t="shared" ca="1" si="92"/>
        <v>8</v>
      </c>
      <c r="J92" s="30">
        <f t="shared" ca="1" si="92"/>
        <v>7.6</v>
      </c>
      <c r="K92" s="30">
        <f t="shared" ca="1" si="92"/>
        <v>7.1</v>
      </c>
      <c r="L92" s="30">
        <f t="shared" ca="1" si="92"/>
        <v>6.8</v>
      </c>
      <c r="M92" s="30">
        <f t="shared" ca="1" si="92"/>
        <v>8.3000000000000007</v>
      </c>
      <c r="N92" s="30">
        <f t="shared" ref="N92:O92" ca="1" si="93">IF(N28="X","X",IF(N28=0,"-",ROUND(N28/N$26*100,1)))</f>
        <v>5.7</v>
      </c>
      <c r="O92" s="30">
        <f t="shared" ca="1" si="93"/>
        <v>5.4</v>
      </c>
    </row>
    <row r="93" spans="1:21" ht="16.5" customHeight="1">
      <c r="A93" s="119" t="s">
        <v>148</v>
      </c>
      <c r="B93" s="100" t="s">
        <v>74</v>
      </c>
      <c r="C93" s="54">
        <f t="shared" ref="C93:M93" ca="1" si="94">IF(C29="X","X",IF(C29=0,"-",ROUND(C29/C$26*100,1)))</f>
        <v>94.9</v>
      </c>
      <c r="D93" s="32">
        <f t="shared" ca="1" si="94"/>
        <v>94.6</v>
      </c>
      <c r="E93" s="32">
        <f t="shared" ca="1" si="94"/>
        <v>94.4</v>
      </c>
      <c r="F93" s="32">
        <f t="shared" ca="1" si="94"/>
        <v>92.6</v>
      </c>
      <c r="G93" s="32">
        <f t="shared" ca="1" si="94"/>
        <v>92.6</v>
      </c>
      <c r="H93" s="32">
        <f t="shared" ca="1" si="94"/>
        <v>92.2</v>
      </c>
      <c r="I93" s="32">
        <f t="shared" ca="1" si="94"/>
        <v>92.3</v>
      </c>
      <c r="J93" s="32">
        <f t="shared" ca="1" si="94"/>
        <v>92.8</v>
      </c>
      <c r="K93" s="32">
        <f t="shared" ca="1" si="94"/>
        <v>93.4</v>
      </c>
      <c r="L93" s="32">
        <f t="shared" ca="1" si="94"/>
        <v>93.8</v>
      </c>
      <c r="M93" s="32">
        <f t="shared" ca="1" si="94"/>
        <v>92.3</v>
      </c>
      <c r="N93" s="32">
        <f t="shared" ref="N93:O93" ca="1" si="95">IF(N29="X","X",IF(N29=0,"-",ROUND(N29/N$26*100,1)))</f>
        <v>94.9</v>
      </c>
      <c r="O93" s="32">
        <f t="shared" ca="1" si="95"/>
        <v>95.1</v>
      </c>
      <c r="P93" s="3"/>
    </row>
    <row r="94" spans="1:21" ht="16.5" customHeight="1">
      <c r="A94" s="115"/>
      <c r="B94" s="276" t="s">
        <v>279</v>
      </c>
      <c r="C94" s="52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106"/>
    </row>
    <row r="95" spans="1:21" ht="16.5" customHeight="1">
      <c r="A95" s="119"/>
      <c r="B95" s="277" t="s">
        <v>280</v>
      </c>
      <c r="C95" s="54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2"/>
    </row>
    <row r="96" spans="1:21" ht="16.5" customHeight="1">
      <c r="B96" s="25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167"/>
    </row>
    <row r="97" spans="1:16" ht="16.5" customHeight="1">
      <c r="A97" s="83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168"/>
    </row>
    <row r="98" spans="1:16" ht="16.5" customHeight="1">
      <c r="A98" s="110" t="str">
        <f>A$2</f>
        <v>那　　覇</v>
      </c>
      <c r="B98" s="157" t="str">
        <f>B$2</f>
        <v>那 覇 市</v>
      </c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30"/>
    </row>
    <row r="99" spans="1:16" ht="16.5" customHeight="1">
      <c r="A99" s="34" t="s">
        <v>272</v>
      </c>
      <c r="B99" s="96"/>
      <c r="C99" s="97"/>
      <c r="D99" s="97"/>
      <c r="E99" s="97"/>
      <c r="F99" s="2"/>
      <c r="G99" s="2"/>
      <c r="H99" s="1"/>
      <c r="I99" s="2"/>
      <c r="J99" s="2"/>
      <c r="K99" s="2"/>
      <c r="L99" s="2"/>
      <c r="M99" s="2"/>
      <c r="N99" s="2"/>
      <c r="O99" s="2"/>
      <c r="P99" s="30"/>
    </row>
    <row r="100" spans="1:16" ht="16.5" customHeight="1">
      <c r="A100" s="6"/>
      <c r="B100" s="7"/>
      <c r="C100" s="27">
        <f>C$4</f>
        <v>23</v>
      </c>
      <c r="D100" s="27">
        <f t="shared" ref="D100:O100" si="96">D$4</f>
        <v>24</v>
      </c>
      <c r="E100" s="27">
        <f t="shared" si="96"/>
        <v>25</v>
      </c>
      <c r="F100" s="27">
        <f t="shared" si="96"/>
        <v>26</v>
      </c>
      <c r="G100" s="27">
        <f t="shared" si="96"/>
        <v>27</v>
      </c>
      <c r="H100" s="27">
        <f t="shared" si="96"/>
        <v>28</v>
      </c>
      <c r="I100" s="27">
        <f t="shared" si="96"/>
        <v>29</v>
      </c>
      <c r="J100" s="27">
        <f t="shared" si="96"/>
        <v>30</v>
      </c>
      <c r="K100" s="27">
        <f t="shared" si="96"/>
        <v>1</v>
      </c>
      <c r="L100" s="27">
        <f t="shared" si="96"/>
        <v>2</v>
      </c>
      <c r="M100" s="27">
        <f t="shared" si="96"/>
        <v>3</v>
      </c>
      <c r="N100" s="27">
        <f t="shared" si="96"/>
        <v>4</v>
      </c>
      <c r="O100" s="27">
        <f t="shared" si="96"/>
        <v>5</v>
      </c>
      <c r="P100" s="30"/>
    </row>
    <row r="101" spans="1:16" ht="16.5" customHeight="1">
      <c r="A101" s="12"/>
      <c r="B101" s="13"/>
      <c r="C101" s="28">
        <f>C$5</f>
        <v>2011</v>
      </c>
      <c r="D101" s="28">
        <f t="shared" ref="D101:O101" si="97">D$5</f>
        <v>2012</v>
      </c>
      <c r="E101" s="28">
        <f t="shared" si="97"/>
        <v>2013</v>
      </c>
      <c r="F101" s="28">
        <f t="shared" si="97"/>
        <v>2014</v>
      </c>
      <c r="G101" s="28">
        <f t="shared" si="97"/>
        <v>2015</v>
      </c>
      <c r="H101" s="28">
        <f t="shared" si="97"/>
        <v>2016</v>
      </c>
      <c r="I101" s="28">
        <f t="shared" si="97"/>
        <v>2017</v>
      </c>
      <c r="J101" s="28">
        <f t="shared" si="97"/>
        <v>2018</v>
      </c>
      <c r="K101" s="28">
        <f t="shared" si="97"/>
        <v>2019</v>
      </c>
      <c r="L101" s="28">
        <f t="shared" si="97"/>
        <v>2020</v>
      </c>
      <c r="M101" s="28">
        <f t="shared" si="97"/>
        <v>2021</v>
      </c>
      <c r="N101" s="28">
        <f t="shared" si="97"/>
        <v>2022</v>
      </c>
      <c r="O101" s="28">
        <f t="shared" si="97"/>
        <v>2023</v>
      </c>
      <c r="P101" s="30"/>
    </row>
    <row r="102" spans="1:16" ht="16.5" customHeight="1">
      <c r="A102" s="114" t="s">
        <v>159</v>
      </c>
      <c r="B102" s="23" t="s">
        <v>51</v>
      </c>
      <c r="C102" s="158"/>
      <c r="D102" s="31">
        <f t="shared" ref="D102:M102" ca="1" si="98">IF(C6="X","X",IF(D6="X","X",(D6-C6)/C$26*100))</f>
        <v>0</v>
      </c>
      <c r="E102" s="31">
        <f t="shared" ca="1" si="98"/>
        <v>-3.0166158462015097E-3</v>
      </c>
      <c r="F102" s="31">
        <f t="shared" ca="1" si="98"/>
        <v>-5.5915723821056901E-4</v>
      </c>
      <c r="G102" s="31">
        <f t="shared" ca="1" si="98"/>
        <v>-1.8671216219685528E-3</v>
      </c>
      <c r="H102" s="31">
        <f t="shared" ca="1" si="98"/>
        <v>5.0361664400391769E-3</v>
      </c>
      <c r="I102" s="31">
        <f t="shared" ca="1" si="98"/>
        <v>-1.5890568875142745E-3</v>
      </c>
      <c r="J102" s="31">
        <f t="shared" ca="1" si="98"/>
        <v>-1.1457969304100233E-3</v>
      </c>
      <c r="K102" s="31">
        <f t="shared" ca="1" si="98"/>
        <v>2.0739424859991004E-3</v>
      </c>
      <c r="L102" s="31">
        <f t="shared" ca="1" si="98"/>
        <v>-1.9460848017263934E-3</v>
      </c>
      <c r="M102" s="31">
        <f t="shared" ca="1" si="98"/>
        <v>2.6274701204894104E-3</v>
      </c>
      <c r="N102" s="31">
        <f t="shared" ref="N102:N125" ca="1" si="99">IF(M6="X","X",IF(N6="X","X",(N6-M6)/M$26*100))</f>
        <v>-5.4910049065513703E-3</v>
      </c>
      <c r="O102" s="31">
        <f t="shared" ref="O102:O125" ca="1" si="100">IF(N6="X","X",IF(O6="X","X",(O6-N6)/N$26*100))</f>
        <v>1.8896626007426373E-3</v>
      </c>
      <c r="P102" s="30"/>
    </row>
    <row r="103" spans="1:16" ht="16.5" customHeight="1">
      <c r="A103" s="114" t="s">
        <v>3</v>
      </c>
      <c r="B103" s="99" t="s">
        <v>52</v>
      </c>
      <c r="C103" s="159"/>
      <c r="D103" s="30">
        <f t="shared" ref="D103:M103" ca="1" si="101">IF(C7="X","X",IF(D7="X","X",(D7-C7)/C$26*100))</f>
        <v>0</v>
      </c>
      <c r="E103" s="30">
        <f t="shared" ca="1" si="101"/>
        <v>3.2612063202178484E-4</v>
      </c>
      <c r="F103" s="30">
        <f t="shared" ca="1" si="101"/>
        <v>3.9939802729326354E-4</v>
      </c>
      <c r="G103" s="30">
        <f t="shared" ca="1" si="101"/>
        <v>0</v>
      </c>
      <c r="H103" s="30">
        <f t="shared" ca="1" si="101"/>
        <v>2.2549998985250044E-4</v>
      </c>
      <c r="I103" s="30">
        <f t="shared" ca="1" si="101"/>
        <v>-7.2229858523376104E-5</v>
      </c>
      <c r="J103" s="30">
        <f t="shared" ca="1" si="101"/>
        <v>1.4322461630125291E-4</v>
      </c>
      <c r="K103" s="30">
        <f t="shared" ca="1" si="101"/>
        <v>7.151525813790001E-4</v>
      </c>
      <c r="L103" s="30">
        <f t="shared" ca="1" si="101"/>
        <v>4.3246328927253188E-4</v>
      </c>
      <c r="M103" s="30">
        <f t="shared" ca="1" si="101"/>
        <v>7.9620306681497282E-5</v>
      </c>
      <c r="N103" s="30">
        <f t="shared" ca="1" si="99"/>
        <v>-6.01753962361794E-4</v>
      </c>
      <c r="O103" s="30">
        <f t="shared" ca="1" si="100"/>
        <v>-7.2679330797793752E-5</v>
      </c>
      <c r="P103" s="30"/>
    </row>
    <row r="104" spans="1:16" ht="16.5" customHeight="1">
      <c r="A104" s="114" t="s">
        <v>5</v>
      </c>
      <c r="B104" s="99" t="s">
        <v>53</v>
      </c>
      <c r="C104" s="159"/>
      <c r="D104" s="30">
        <f t="shared" ref="D104:M104" ca="1" si="102">IF(C8="X","X",IF(D8="X","X",(D8-C8)/C$26*100))</f>
        <v>2.0626995965197809E-2</v>
      </c>
      <c r="E104" s="30">
        <f t="shared" ca="1" si="102"/>
        <v>2.4459047401633864E-3</v>
      </c>
      <c r="F104" s="30">
        <f t="shared" ca="1" si="102"/>
        <v>-7.9879605458652708E-4</v>
      </c>
      <c r="G104" s="30">
        <f t="shared" ca="1" si="102"/>
        <v>4.6522447080716442E-2</v>
      </c>
      <c r="H104" s="30">
        <f t="shared" ca="1" si="102"/>
        <v>-3.9086664907766753E-3</v>
      </c>
      <c r="I104" s="30">
        <f t="shared" ca="1" si="102"/>
        <v>1.7696315338227145E-2</v>
      </c>
      <c r="J104" s="30">
        <f t="shared" ca="1" si="102"/>
        <v>-2.6496554015731791E-3</v>
      </c>
      <c r="K104" s="30">
        <f t="shared" ca="1" si="102"/>
        <v>-1.6305478855441202E-2</v>
      </c>
      <c r="L104" s="30">
        <f t="shared" ca="1" si="102"/>
        <v>-4.3750869431404479E-2</v>
      </c>
      <c r="M104" s="30">
        <f t="shared" ca="1" si="102"/>
        <v>1.5048237962802984E-2</v>
      </c>
      <c r="N104" s="30">
        <f t="shared" ca="1" si="99"/>
        <v>-1.3163367926664246E-2</v>
      </c>
      <c r="O104" s="30">
        <f t="shared" ca="1" si="100"/>
        <v>2.8126901018746178E-2</v>
      </c>
      <c r="P104" s="30"/>
    </row>
    <row r="105" spans="1:16" ht="16.5" customHeight="1">
      <c r="A105" s="114" t="s">
        <v>7</v>
      </c>
      <c r="B105" s="23" t="s">
        <v>54</v>
      </c>
      <c r="C105" s="159"/>
      <c r="D105" s="30">
        <f t="shared" ref="D105:M105" ca="1" si="103">IF(C9="X","X",IF(D9="X","X",(D9-C9)/C$26*100))</f>
        <v>6.4712144204542149E-4</v>
      </c>
      <c r="E105" s="30">
        <f t="shared" ca="1" si="103"/>
        <v>4.1580380582777569E-3</v>
      </c>
      <c r="F105" s="30">
        <f t="shared" ca="1" si="103"/>
        <v>3.993980272932636E-3</v>
      </c>
      <c r="G105" s="30">
        <f t="shared" ca="1" si="103"/>
        <v>7.0795028166307644E-3</v>
      </c>
      <c r="H105" s="30">
        <f t="shared" ca="1" si="103"/>
        <v>2.5556665516616719E-3</v>
      </c>
      <c r="I105" s="30">
        <f t="shared" ca="1" si="103"/>
        <v>4.7671706625428229E-3</v>
      </c>
      <c r="J105" s="30">
        <f t="shared" ca="1" si="103"/>
        <v>2.8644923260250587E-3</v>
      </c>
      <c r="K105" s="30">
        <f t="shared" ca="1" si="103"/>
        <v>2.8606103255160004E-3</v>
      </c>
      <c r="L105" s="30">
        <f t="shared" ca="1" si="103"/>
        <v>3.0272430249077232E-3</v>
      </c>
      <c r="M105" s="30">
        <f t="shared" ca="1" si="103"/>
        <v>3.9810153340748636E-4</v>
      </c>
      <c r="N105" s="30">
        <f t="shared" ca="1" si="99"/>
        <v>1.1207667548988413E-2</v>
      </c>
      <c r="O105" s="30">
        <f t="shared" ca="1" si="100"/>
        <v>-2.9071732319117501E-4</v>
      </c>
      <c r="P105" s="30"/>
    </row>
    <row r="106" spans="1:16" ht="16.5" customHeight="1">
      <c r="A106" s="114" t="s">
        <v>9</v>
      </c>
      <c r="B106" s="99" t="s">
        <v>55</v>
      </c>
      <c r="C106" s="159"/>
      <c r="D106" s="30">
        <f t="shared" ref="D106:M106" ca="1" si="104">IF(C10="X","X",IF(D10="X","X",(D10-C10)/C$26*100))</f>
        <v>-5.1446154642611014E-2</v>
      </c>
      <c r="E106" s="30">
        <f t="shared" ca="1" si="104"/>
        <v>1.6713682391116473E-2</v>
      </c>
      <c r="F106" s="30">
        <f t="shared" ca="1" si="104"/>
        <v>-2.0369299391956443E-2</v>
      </c>
      <c r="G106" s="30">
        <f t="shared" ca="1" si="104"/>
        <v>-7.7329953843197574E-2</v>
      </c>
      <c r="H106" s="30">
        <f t="shared" ca="1" si="104"/>
        <v>-0.19904132437647376</v>
      </c>
      <c r="I106" s="30">
        <f t="shared" ca="1" si="104"/>
        <v>0.25078206879316184</v>
      </c>
      <c r="J106" s="30">
        <f t="shared" ca="1" si="104"/>
        <v>4.5975101832702189E-2</v>
      </c>
      <c r="K106" s="30">
        <f t="shared" ca="1" si="104"/>
        <v>-0.18515300331902312</v>
      </c>
      <c r="L106" s="30">
        <f t="shared" ca="1" si="104"/>
        <v>0.21262778389232817</v>
      </c>
      <c r="M106" s="30">
        <f t="shared" ca="1" si="104"/>
        <v>-8.8537781029824972E-2</v>
      </c>
      <c r="N106" s="30">
        <f t="shared" ca="1" si="99"/>
        <v>-1.5720822266701868E-2</v>
      </c>
      <c r="O106" s="30">
        <f t="shared" ca="1" si="100"/>
        <v>0.1221739550710913</v>
      </c>
      <c r="P106" s="30"/>
    </row>
    <row r="107" spans="1:16" ht="16.5" customHeight="1">
      <c r="A107" s="114" t="s">
        <v>11</v>
      </c>
      <c r="B107" s="99" t="s">
        <v>57</v>
      </c>
      <c r="C107" s="159"/>
      <c r="D107" s="30">
        <f t="shared" ref="D107:M107" ca="1" si="105">IF(C11="X","X",IF(D11="X","X",(D11-C11)/C$26*100))</f>
        <v>0.28513788540126384</v>
      </c>
      <c r="E107" s="30">
        <f t="shared" ca="1" si="105"/>
        <v>0.30247688620020546</v>
      </c>
      <c r="F107" s="30">
        <f t="shared" ca="1" si="105"/>
        <v>2.1102594170066875</v>
      </c>
      <c r="G107" s="30">
        <f t="shared" ca="1" si="105"/>
        <v>0.71300706938924119</v>
      </c>
      <c r="H107" s="30">
        <f t="shared" ca="1" si="105"/>
        <v>0.98468328902258528</v>
      </c>
      <c r="I107" s="30">
        <f t="shared" ca="1" si="105"/>
        <v>-0.26660040780978123</v>
      </c>
      <c r="J107" s="30">
        <f t="shared" ca="1" si="105"/>
        <v>-0.48159277231296294</v>
      </c>
      <c r="K107" s="30">
        <f t="shared" ca="1" si="105"/>
        <v>-0.33512049963419943</v>
      </c>
      <c r="L107" s="30">
        <f t="shared" ca="1" si="105"/>
        <v>-1.2175283137319348</v>
      </c>
      <c r="M107" s="30">
        <f t="shared" ca="1" si="105"/>
        <v>2.1131229393269377</v>
      </c>
      <c r="N107" s="30">
        <f t="shared" ca="1" si="99"/>
        <v>-2.4283781151110198</v>
      </c>
      <c r="O107" s="30">
        <f t="shared" ca="1" si="100"/>
        <v>-7.0644309535455529E-2</v>
      </c>
      <c r="P107" s="30"/>
    </row>
    <row r="108" spans="1:16" ht="16.5" customHeight="1">
      <c r="A108" s="114" t="s">
        <v>13</v>
      </c>
      <c r="B108" s="99" t="s">
        <v>56</v>
      </c>
      <c r="C108" s="159"/>
      <c r="D108" s="30">
        <f t="shared" ref="D108:M108" ca="1" si="106">IF(C12="X","X",IF(D12="X","X",(D12-C12)/C$26*100))</f>
        <v>-4.0525980308094518E-2</v>
      </c>
      <c r="E108" s="30">
        <f t="shared" ca="1" si="106"/>
        <v>-8.5199015115691293E-2</v>
      </c>
      <c r="F108" s="30">
        <f t="shared" ca="1" si="106"/>
        <v>0.43087059184397275</v>
      </c>
      <c r="G108" s="30">
        <f t="shared" ca="1" si="106"/>
        <v>1.314764808802856E-2</v>
      </c>
      <c r="H108" s="30">
        <f t="shared" ca="1" si="106"/>
        <v>0.22098999005545047</v>
      </c>
      <c r="I108" s="30">
        <f t="shared" ca="1" si="106"/>
        <v>-5.973409299883204E-2</v>
      </c>
      <c r="J108" s="30">
        <f t="shared" ca="1" si="106"/>
        <v>7.447680047665153E-3</v>
      </c>
      <c r="K108" s="30">
        <f t="shared" ca="1" si="106"/>
        <v>0.15096870992910694</v>
      </c>
      <c r="L108" s="30">
        <f t="shared" ca="1" si="106"/>
        <v>-2.0253697380930243E-2</v>
      </c>
      <c r="M108" s="30">
        <f t="shared" ca="1" si="106"/>
        <v>5.6371177130500071E-2</v>
      </c>
      <c r="N108" s="30">
        <f t="shared" ca="1" si="99"/>
        <v>-0.51284481442283891</v>
      </c>
      <c r="O108" s="30">
        <f t="shared" ca="1" si="100"/>
        <v>0.19361773724532255</v>
      </c>
      <c r="P108" s="30"/>
    </row>
    <row r="109" spans="1:16" ht="16.5" customHeight="1">
      <c r="A109" s="114" t="s">
        <v>15</v>
      </c>
      <c r="B109" s="99" t="s">
        <v>58</v>
      </c>
      <c r="C109" s="159"/>
      <c r="D109" s="30">
        <f t="shared" ref="D109:M109" ca="1" si="107">IF(C13="X","X",IF(D13="X","X",(D13-C13)/C$26*100))</f>
        <v>0.17278142502612753</v>
      </c>
      <c r="E109" s="30">
        <f t="shared" ca="1" si="107"/>
        <v>0.32228871459552888</v>
      </c>
      <c r="F109" s="30">
        <f t="shared" ca="1" si="107"/>
        <v>-0.11766265884059544</v>
      </c>
      <c r="G109" s="30">
        <f t="shared" ca="1" si="107"/>
        <v>6.643841104838101E-2</v>
      </c>
      <c r="H109" s="30">
        <f t="shared" ca="1" si="107"/>
        <v>-8.907249599173768E-2</v>
      </c>
      <c r="I109" s="30">
        <f t="shared" ca="1" si="107"/>
        <v>0.2899306521128317</v>
      </c>
      <c r="J109" s="30">
        <f t="shared" ca="1" si="107"/>
        <v>-6.7243957353438244E-2</v>
      </c>
      <c r="K109" s="30">
        <f t="shared" ca="1" si="107"/>
        <v>-0.24429612179906646</v>
      </c>
      <c r="L109" s="30">
        <f t="shared" ca="1" si="107"/>
        <v>-0.60148435816321311</v>
      </c>
      <c r="M109" s="30">
        <f t="shared" ca="1" si="107"/>
        <v>0.54691188659520484</v>
      </c>
      <c r="N109" s="30">
        <f t="shared" ca="1" si="99"/>
        <v>0.28455440495183337</v>
      </c>
      <c r="O109" s="30">
        <f t="shared" ca="1" si="100"/>
        <v>0.34595361459749824</v>
      </c>
      <c r="P109" s="30"/>
    </row>
    <row r="110" spans="1:16" ht="16.5" customHeight="1">
      <c r="A110" s="114" t="s">
        <v>16</v>
      </c>
      <c r="B110" s="99" t="s">
        <v>59</v>
      </c>
      <c r="C110" s="159"/>
      <c r="D110" s="30">
        <f t="shared" ref="D110:M110" ca="1" si="108">IF(C14="X","X",IF(D14="X","X",(D14-C14)/C$26*100))</f>
        <v>-1.1710471395614457</v>
      </c>
      <c r="E110" s="30">
        <f t="shared" ca="1" si="108"/>
        <v>1.0406509367815155</v>
      </c>
      <c r="F110" s="30">
        <f t="shared" ca="1" si="108"/>
        <v>-0.46745545114403569</v>
      </c>
      <c r="G110" s="30">
        <f t="shared" ca="1" si="108"/>
        <v>0.31624372472092366</v>
      </c>
      <c r="H110" s="30">
        <f t="shared" ca="1" si="108"/>
        <v>0.97092778964158277</v>
      </c>
      <c r="I110" s="30">
        <f t="shared" ca="1" si="108"/>
        <v>-6.5295792105132006E-2</v>
      </c>
      <c r="J110" s="30">
        <f t="shared" ca="1" si="108"/>
        <v>-1.8690812427313509E-2</v>
      </c>
      <c r="K110" s="30">
        <f t="shared" ca="1" si="108"/>
        <v>-0.42122487043223106</v>
      </c>
      <c r="L110" s="30">
        <f t="shared" ca="1" si="108"/>
        <v>-5.169882391608482</v>
      </c>
      <c r="M110" s="30">
        <f t="shared" ca="1" si="108"/>
        <v>0.37270265557608873</v>
      </c>
      <c r="N110" s="30">
        <f t="shared" ca="1" si="99"/>
        <v>2.1551818161987653</v>
      </c>
      <c r="O110" s="30">
        <f t="shared" ca="1" si="100"/>
        <v>3.1616962483656237</v>
      </c>
      <c r="P110" s="30"/>
    </row>
    <row r="111" spans="1:16" ht="16.5" customHeight="1">
      <c r="A111" s="18">
        <v>10</v>
      </c>
      <c r="B111" s="99" t="s">
        <v>60</v>
      </c>
      <c r="C111" s="159"/>
      <c r="D111" s="30">
        <f t="shared" ref="D111:M111" ca="1" si="109">IF(C15="X","X",IF(D15="X","X",(D15-C15)/C$26*100))</f>
        <v>-0.11041509604900004</v>
      </c>
      <c r="E111" s="30">
        <f t="shared" ca="1" si="109"/>
        <v>9.3025910284214128E-2</v>
      </c>
      <c r="F111" s="30">
        <f t="shared" ca="1" si="109"/>
        <v>-7.0373932409073053E-2</v>
      </c>
      <c r="G111" s="30">
        <f t="shared" ca="1" si="109"/>
        <v>7.2817743256773565E-2</v>
      </c>
      <c r="H111" s="30">
        <f t="shared" ca="1" si="109"/>
        <v>0.52067947656942348</v>
      </c>
      <c r="I111" s="30">
        <f t="shared" ca="1" si="109"/>
        <v>0.15413851808888462</v>
      </c>
      <c r="J111" s="30">
        <f t="shared" ca="1" si="109"/>
        <v>-8.4502523617739234E-3</v>
      </c>
      <c r="K111" s="30">
        <f t="shared" ca="1" si="109"/>
        <v>-0.30508409121628144</v>
      </c>
      <c r="L111" s="30">
        <f t="shared" ca="1" si="109"/>
        <v>-1.705851444535502</v>
      </c>
      <c r="M111" s="30">
        <f t="shared" ca="1" si="109"/>
        <v>-8.2168156495305192E-2</v>
      </c>
      <c r="N111" s="30">
        <f t="shared" ca="1" si="99"/>
        <v>1.1725175956619558</v>
      </c>
      <c r="O111" s="30">
        <f t="shared" ca="1" si="100"/>
        <v>1.1609796301639572</v>
      </c>
      <c r="P111" s="30"/>
    </row>
    <row r="112" spans="1:16" ht="16.5" customHeight="1">
      <c r="A112" s="18">
        <v>11</v>
      </c>
      <c r="B112" s="99" t="s">
        <v>61</v>
      </c>
      <c r="C112" s="159"/>
      <c r="D112" s="30">
        <f t="shared" ref="D112:M112" ca="1" si="110">IF(C16="X","X",IF(D16="X","X",(D16-C16)/C$26*100))</f>
        <v>-0.53889038086332464</v>
      </c>
      <c r="E112" s="30">
        <f t="shared" ca="1" si="110"/>
        <v>-0.17643126192378561</v>
      </c>
      <c r="F112" s="30">
        <f t="shared" ca="1" si="110"/>
        <v>-0.69702943723220367</v>
      </c>
      <c r="G112" s="30">
        <f t="shared" ca="1" si="110"/>
        <v>0.31235388800848918</v>
      </c>
      <c r="H112" s="30">
        <f t="shared" ca="1" si="110"/>
        <v>0.4727983120574093</v>
      </c>
      <c r="I112" s="30">
        <f t="shared" ca="1" si="110"/>
        <v>-0.14604877393426649</v>
      </c>
      <c r="J112" s="30">
        <f t="shared" ca="1" si="110"/>
        <v>0.16370573643233211</v>
      </c>
      <c r="K112" s="30">
        <f t="shared" ca="1" si="110"/>
        <v>-0.50210862738619599</v>
      </c>
      <c r="L112" s="30">
        <f t="shared" ca="1" si="110"/>
        <v>-2.1623164463626596E-3</v>
      </c>
      <c r="M112" s="30">
        <f t="shared" ca="1" si="110"/>
        <v>-0.467530440833752</v>
      </c>
      <c r="N112" s="30">
        <f t="shared" ca="1" si="99"/>
        <v>-0.16006655398823721</v>
      </c>
      <c r="O112" s="30">
        <f t="shared" ca="1" si="100"/>
        <v>7.8857073915606216E-2</v>
      </c>
      <c r="P112" s="30"/>
    </row>
    <row r="113" spans="1:19" ht="16.5" customHeight="1">
      <c r="A113" s="18">
        <v>12</v>
      </c>
      <c r="B113" s="99" t="s">
        <v>62</v>
      </c>
      <c r="C113" s="159"/>
      <c r="D113" s="30">
        <f t="shared" ref="D113:M113" ca="1" si="111">IF(C17="X","X",IF(D17="X","X",(D17-C17)/C$26*100))</f>
        <v>-0.24792840248365208</v>
      </c>
      <c r="E113" s="30">
        <f t="shared" ca="1" si="111"/>
        <v>0.26480995320168926</v>
      </c>
      <c r="F113" s="30">
        <f t="shared" ca="1" si="111"/>
        <v>-4.9365596173447379E-2</v>
      </c>
      <c r="G113" s="30">
        <f t="shared" ca="1" si="111"/>
        <v>-1.1825103605800837E-2</v>
      </c>
      <c r="H113" s="30">
        <f t="shared" ca="1" si="111"/>
        <v>-0.58013630722719955</v>
      </c>
      <c r="I113" s="30">
        <f t="shared" ca="1" si="111"/>
        <v>0.11860142769538357</v>
      </c>
      <c r="J113" s="30">
        <f t="shared" ca="1" si="111"/>
        <v>0.16699990260726091</v>
      </c>
      <c r="K113" s="30">
        <f t="shared" ca="1" si="111"/>
        <v>0.23149489059238232</v>
      </c>
      <c r="L113" s="30">
        <f t="shared" ca="1" si="111"/>
        <v>-0.14350573482360185</v>
      </c>
      <c r="M113" s="30">
        <f t="shared" ca="1" si="111"/>
        <v>0.24913193960640498</v>
      </c>
      <c r="N113" s="30">
        <f t="shared" ca="1" si="99"/>
        <v>0.87856078504821922</v>
      </c>
      <c r="O113" s="30">
        <f t="shared" ca="1" si="100"/>
        <v>0.41434486487822214</v>
      </c>
      <c r="P113" s="30"/>
    </row>
    <row r="114" spans="1:19" ht="16.5" customHeight="1">
      <c r="A114" s="18">
        <v>13</v>
      </c>
      <c r="B114" s="99" t="s">
        <v>63</v>
      </c>
      <c r="C114" s="159"/>
      <c r="D114" s="30">
        <f t="shared" ref="D114:M114" ca="1" si="112">IF(C18="X","X",IF(D18="X","X",(D18-C18)/C$26*100))</f>
        <v>-8.8332076839200024E-2</v>
      </c>
      <c r="E114" s="30">
        <f t="shared" ca="1" si="112"/>
        <v>0.12335512906224012</v>
      </c>
      <c r="F114" s="30">
        <f t="shared" ca="1" si="112"/>
        <v>0.34963303309252297</v>
      </c>
      <c r="G114" s="30">
        <f t="shared" ca="1" si="112"/>
        <v>-4.1076675683308167E-2</v>
      </c>
      <c r="H114" s="30">
        <f t="shared" ca="1" si="112"/>
        <v>0.13665299385061527</v>
      </c>
      <c r="I114" s="30">
        <f t="shared" ca="1" si="112"/>
        <v>0.3274179486864639</v>
      </c>
      <c r="J114" s="30">
        <f t="shared" ca="1" si="112"/>
        <v>-3.3586172522643808E-2</v>
      </c>
      <c r="K114" s="30">
        <f t="shared" ca="1" si="112"/>
        <v>0.30808773205807327</v>
      </c>
      <c r="L114" s="30">
        <f t="shared" ca="1" si="112"/>
        <v>0.23763857745525627</v>
      </c>
      <c r="M114" s="30">
        <f t="shared" ca="1" si="112"/>
        <v>0.50168755240011431</v>
      </c>
      <c r="N114" s="30">
        <f t="shared" ca="1" si="99"/>
        <v>0.47553606875640769</v>
      </c>
      <c r="O114" s="30">
        <f t="shared" ca="1" si="100"/>
        <v>-0.24609221408132964</v>
      </c>
      <c r="P114" s="30"/>
    </row>
    <row r="115" spans="1:19" ht="16.5" customHeight="1">
      <c r="A115" s="18">
        <v>14</v>
      </c>
      <c r="B115" s="99" t="s">
        <v>64</v>
      </c>
      <c r="C115" s="159"/>
      <c r="D115" s="30">
        <f t="shared" ref="D115:M115" ca="1" si="113">IF(C19="X","X",IF(D19="X","X",(D19-C19)/C$26*100))</f>
        <v>0.66799110855138621</v>
      </c>
      <c r="E115" s="30">
        <f t="shared" ca="1" si="113"/>
        <v>0.53907740473201038</v>
      </c>
      <c r="F115" s="30">
        <f t="shared" ca="1" si="113"/>
        <v>0.38190439369781864</v>
      </c>
      <c r="G115" s="30">
        <f t="shared" ca="1" si="113"/>
        <v>1.1673399974015892</v>
      </c>
      <c r="H115" s="30">
        <f t="shared" ca="1" si="113"/>
        <v>1.1961271128409465</v>
      </c>
      <c r="I115" s="30">
        <f t="shared" ca="1" si="113"/>
        <v>-0.299970602447581</v>
      </c>
      <c r="J115" s="30">
        <f t="shared" ca="1" si="113"/>
        <v>-0.26159976167423848</v>
      </c>
      <c r="K115" s="30">
        <f t="shared" ca="1" si="113"/>
        <v>-0.20553485188832465</v>
      </c>
      <c r="L115" s="30">
        <f t="shared" ca="1" si="113"/>
        <v>1.5136215124538617E-2</v>
      </c>
      <c r="M115" s="30">
        <f t="shared" ca="1" si="113"/>
        <v>1.4243276662253048</v>
      </c>
      <c r="N115" s="30">
        <f t="shared" ca="1" si="99"/>
        <v>0.85704808089378504</v>
      </c>
      <c r="O115" s="30">
        <f t="shared" ca="1" si="100"/>
        <v>-0.44654180842164476</v>
      </c>
      <c r="P115" s="30"/>
    </row>
    <row r="116" spans="1:19" ht="16.5" customHeight="1">
      <c r="A116" s="18">
        <v>15</v>
      </c>
      <c r="B116" s="99" t="s">
        <v>65</v>
      </c>
      <c r="C116" s="159"/>
      <c r="D116" s="30">
        <f t="shared" ref="D116:M116" ca="1" si="114">IF(C20="X","X",IF(D20="X","X",(D20-C20)/C$26*100))</f>
        <v>-0.11769521227201103</v>
      </c>
      <c r="E116" s="30">
        <f t="shared" ca="1" si="114"/>
        <v>-0.3658258189704372</v>
      </c>
      <c r="F116" s="30">
        <f t="shared" ca="1" si="114"/>
        <v>0.8869032594074211</v>
      </c>
      <c r="G116" s="30">
        <f t="shared" ca="1" si="114"/>
        <v>0.52139371293471837</v>
      </c>
      <c r="H116" s="30">
        <f t="shared" ca="1" si="114"/>
        <v>0.21219549045120292</v>
      </c>
      <c r="I116" s="30">
        <f t="shared" ca="1" si="114"/>
        <v>0.31730576849319125</v>
      </c>
      <c r="J116" s="30">
        <f t="shared" ca="1" si="114"/>
        <v>0.40940756569713149</v>
      </c>
      <c r="K116" s="30">
        <f t="shared" ca="1" si="114"/>
        <v>0.58935724231443398</v>
      </c>
      <c r="L116" s="30">
        <f t="shared" ca="1" si="114"/>
        <v>-0.96936646290438022</v>
      </c>
      <c r="M116" s="30">
        <f t="shared" ca="1" si="114"/>
        <v>0.36426290306785003</v>
      </c>
      <c r="N116" s="30">
        <f t="shared" ca="1" si="99"/>
        <v>0.24611737060597377</v>
      </c>
      <c r="O116" s="30">
        <f t="shared" ca="1" si="100"/>
        <v>0.6615272689215187</v>
      </c>
      <c r="P116" s="30"/>
    </row>
    <row r="117" spans="1:19" ht="16.5" customHeight="1">
      <c r="A117" s="18">
        <v>16</v>
      </c>
      <c r="B117" s="99" t="s">
        <v>66</v>
      </c>
      <c r="C117" s="159"/>
      <c r="D117" s="30">
        <f t="shared" ref="D117:M117" ca="1" si="115">IF(C21="X","X",IF(D21="X","X",(D21-C21)/C$26*100))</f>
        <v>-2.1921238849288652E-2</v>
      </c>
      <c r="E117" s="30">
        <f t="shared" ca="1" si="115"/>
        <v>-0.11724036721183165</v>
      </c>
      <c r="F117" s="30">
        <f t="shared" ca="1" si="115"/>
        <v>9.9849506823315899E-3</v>
      </c>
      <c r="G117" s="30">
        <f t="shared" ca="1" si="115"/>
        <v>3.936514752983699E-2</v>
      </c>
      <c r="H117" s="30">
        <f t="shared" ca="1" si="115"/>
        <v>2.2549998985250044E-4</v>
      </c>
      <c r="I117" s="30">
        <f t="shared" ca="1" si="115"/>
        <v>9.8738216601455153E-2</v>
      </c>
      <c r="J117" s="30">
        <f t="shared" ca="1" si="115"/>
        <v>5.6716948055296167E-2</v>
      </c>
      <c r="K117" s="30">
        <f t="shared" ca="1" si="115"/>
        <v>2.6889737059850403E-2</v>
      </c>
      <c r="L117" s="30">
        <f t="shared" ca="1" si="115"/>
        <v>8.6997198358657671E-2</v>
      </c>
      <c r="M117" s="30">
        <f t="shared" ca="1" si="115"/>
        <v>0.11831577572870494</v>
      </c>
      <c r="N117" s="30">
        <f t="shared" ca="1" si="99"/>
        <v>0.14554923964625893</v>
      </c>
      <c r="O117" s="30">
        <f t="shared" ca="1" si="100"/>
        <v>-4.854979297292622E-2</v>
      </c>
      <c r="P117" s="30"/>
    </row>
    <row r="118" spans="1:19" ht="16.5" customHeight="1">
      <c r="A118" s="18">
        <v>17</v>
      </c>
      <c r="B118" s="99" t="s">
        <v>67</v>
      </c>
      <c r="C118" s="159"/>
      <c r="D118" s="30">
        <f t="shared" ref="D118:M118" ca="1" si="116">IF(C22="X","X",IF(D22="X","X",(D22-C22)/C$26*100))</f>
        <v>0.32938481400111952</v>
      </c>
      <c r="E118" s="30">
        <f t="shared" ca="1" si="116"/>
        <v>0.2657067849397492</v>
      </c>
      <c r="F118" s="30">
        <f t="shared" ca="1" si="116"/>
        <v>9.1781666671991974E-2</v>
      </c>
      <c r="G118" s="30">
        <f t="shared" ca="1" si="116"/>
        <v>0.68468905812271819</v>
      </c>
      <c r="H118" s="30">
        <f t="shared" ca="1" si="116"/>
        <v>0.40785431497988917</v>
      </c>
      <c r="I118" s="30">
        <f t="shared" ca="1" si="116"/>
        <v>8.4653394189396797E-2</v>
      </c>
      <c r="J118" s="30">
        <f t="shared" ca="1" si="116"/>
        <v>0.29726269113325043</v>
      </c>
      <c r="K118" s="30">
        <f t="shared" ca="1" si="116"/>
        <v>0.33440534705282043</v>
      </c>
      <c r="L118" s="30">
        <f t="shared" ca="1" si="116"/>
        <v>7.4671994614390502E-2</v>
      </c>
      <c r="M118" s="30">
        <f t="shared" ca="1" si="116"/>
        <v>0.46323094427295114</v>
      </c>
      <c r="N118" s="30">
        <f t="shared" ca="1" si="99"/>
        <v>8.4170335485355935E-2</v>
      </c>
      <c r="O118" s="30">
        <f t="shared" ca="1" si="100"/>
        <v>7.0280912881466553E-2</v>
      </c>
      <c r="P118" s="30"/>
    </row>
    <row r="119" spans="1:19" ht="16.5" customHeight="1">
      <c r="A119" s="18">
        <v>18</v>
      </c>
      <c r="B119" s="99" t="s">
        <v>68</v>
      </c>
      <c r="C119" s="159"/>
      <c r="D119" s="32">
        <f t="shared" ref="D119:M119" ca="1" si="117">IF(C23="X","X",IF(D23="X","X",(D23-C23)/C$26*100))</f>
        <v>0.13330701706135681</v>
      </c>
      <c r="E119" s="32">
        <f t="shared" ca="1" si="117"/>
        <v>-0.11438681168164104</v>
      </c>
      <c r="F119" s="32">
        <f t="shared" ca="1" si="117"/>
        <v>-3.3309795476258182E-2</v>
      </c>
      <c r="G119" s="32">
        <f t="shared" ca="1" si="117"/>
        <v>6.4571289426412458E-3</v>
      </c>
      <c r="H119" s="32">
        <f t="shared" ca="1" si="117"/>
        <v>-3.0517665293371729E-2</v>
      </c>
      <c r="I119" s="32">
        <f t="shared" ca="1" si="117"/>
        <v>6.1467609603393071E-2</v>
      </c>
      <c r="J119" s="32">
        <f t="shared" ca="1" si="117"/>
        <v>-0.11329067149429106</v>
      </c>
      <c r="K119" s="32">
        <f t="shared" ca="1" si="117"/>
        <v>-6.1074030449766614E-2</v>
      </c>
      <c r="L119" s="32">
        <f t="shared" ca="1" si="117"/>
        <v>-0.34416870104605662</v>
      </c>
      <c r="M119" s="32">
        <f t="shared" ca="1" si="117"/>
        <v>0.42915345301327029</v>
      </c>
      <c r="N119" s="32">
        <f t="shared" ca="1" si="99"/>
        <v>0.22926825965984354</v>
      </c>
      <c r="O119" s="32">
        <f t="shared" ca="1" si="100"/>
        <v>-0.17232269332156896</v>
      </c>
      <c r="P119" s="30"/>
    </row>
    <row r="120" spans="1:19" ht="16.5" customHeight="1">
      <c r="A120" s="33">
        <v>19</v>
      </c>
      <c r="B120" s="98" t="s">
        <v>70</v>
      </c>
      <c r="C120" s="160"/>
      <c r="D120" s="32">
        <f t="shared" ref="D120:M120" ca="1" si="118">IF(C24="X","X",IF(D24="X","X",(D24-C24)/C$26*100))</f>
        <v>-0.77832531442013064</v>
      </c>
      <c r="E120" s="32">
        <f t="shared" ca="1" si="118"/>
        <v>2.1129355748691441</v>
      </c>
      <c r="F120" s="32">
        <f t="shared" ca="1" si="118"/>
        <v>2.8088065667426054</v>
      </c>
      <c r="G120" s="32">
        <f t="shared" ca="1" si="118"/>
        <v>3.8347566245864133</v>
      </c>
      <c r="H120" s="32">
        <f t="shared" ca="1" si="118"/>
        <v>4.2282751430609524</v>
      </c>
      <c r="I120" s="32">
        <f t="shared" ca="1" si="118"/>
        <v>0.88618813422330145</v>
      </c>
      <c r="J120" s="32">
        <f t="shared" ca="1" si="118"/>
        <v>0.16227349026931956</v>
      </c>
      <c r="K120" s="32">
        <f t="shared" ca="1" si="118"/>
        <v>-0.62904821058096849</v>
      </c>
      <c r="L120" s="32">
        <f t="shared" ca="1" si="118"/>
        <v>-9.589368899114243</v>
      </c>
      <c r="M120" s="32">
        <f t="shared" ca="1" si="118"/>
        <v>6.0191359445078305</v>
      </c>
      <c r="N120" s="32">
        <f t="shared" ca="1" si="99"/>
        <v>3.4034451918730122</v>
      </c>
      <c r="O120" s="32">
        <f t="shared" ca="1" si="100"/>
        <v>5.2549336546728806</v>
      </c>
      <c r="P120" s="30"/>
    </row>
    <row r="121" spans="1:19" ht="16.5" customHeight="1" thickBot="1">
      <c r="A121" s="60">
        <v>20</v>
      </c>
      <c r="B121" s="101" t="s">
        <v>100</v>
      </c>
      <c r="C121" s="161"/>
      <c r="D121" s="30">
        <f t="shared" ref="D121:M121" ca="1" si="119">IF(C25="X","X",IF(D25="X","X",(D25-C25)/C$26*100))</f>
        <v>-6.6329947809655697E-3</v>
      </c>
      <c r="E121" s="30">
        <f t="shared" ca="1" si="119"/>
        <v>-4.6635250379115235E-2</v>
      </c>
      <c r="F121" s="30">
        <f t="shared" ca="1" si="119"/>
        <v>-0.13148183058494239</v>
      </c>
      <c r="G121" s="30">
        <f t="shared" ca="1" si="119"/>
        <v>-0.33577070501734479</v>
      </c>
      <c r="H121" s="30">
        <f t="shared" ca="1" si="119"/>
        <v>-0.16235999269380033</v>
      </c>
      <c r="I121" s="30">
        <f t="shared" ca="1" si="119"/>
        <v>-2.3835853312714116E-2</v>
      </c>
      <c r="J121" s="30">
        <f t="shared" ca="1" si="119"/>
        <v>-2.6568166323882418E-2</v>
      </c>
      <c r="K121" s="30">
        <f t="shared" ca="1" si="119"/>
        <v>-0.15061113363841744</v>
      </c>
      <c r="L121" s="30">
        <f t="shared" ca="1" si="119"/>
        <v>0.11553977545064475</v>
      </c>
      <c r="M121" s="30">
        <f t="shared" ca="1" si="119"/>
        <v>-0.16815808771132226</v>
      </c>
      <c r="N121" s="30">
        <f t="shared" ca="1" si="99"/>
        <v>9.1240944543107022E-2</v>
      </c>
      <c r="O121" s="30">
        <f t="shared" ca="1" si="100"/>
        <v>-4.2880805170698311E-2</v>
      </c>
      <c r="P121" s="30"/>
    </row>
    <row r="122" spans="1:19" ht="15.75" customHeight="1" thickTop="1">
      <c r="A122" s="18">
        <v>21</v>
      </c>
      <c r="B122" s="99" t="s">
        <v>119</v>
      </c>
      <c r="C122" s="166"/>
      <c r="D122" s="165">
        <f t="shared" ref="D122:M122" ca="1" si="120">IF(C26="X","X",IF(D26="X","X",(D26-C26)/C$26*100))</f>
        <v>-0.7849583092010961</v>
      </c>
      <c r="E122" s="165">
        <f t="shared" ca="1" si="120"/>
        <v>2.0663003244900291</v>
      </c>
      <c r="F122" s="165">
        <f t="shared" ca="1" si="120"/>
        <v>2.6773247361576633</v>
      </c>
      <c r="G122" s="165">
        <f t="shared" ca="1" si="120"/>
        <v>3.4989859195690682</v>
      </c>
      <c r="H122" s="165">
        <f t="shared" ca="1" si="120"/>
        <v>4.065915150367152</v>
      </c>
      <c r="I122" s="165">
        <f t="shared" ca="1" si="120"/>
        <v>0.86235228091058747</v>
      </c>
      <c r="J122" s="165">
        <f t="shared" ca="1" si="120"/>
        <v>0.13570532394543713</v>
      </c>
      <c r="K122" s="165">
        <f t="shared" ca="1" si="120"/>
        <v>-0.77965934421938587</v>
      </c>
      <c r="L122" s="165">
        <f t="shared" ca="1" si="120"/>
        <v>-9.473829123663597</v>
      </c>
      <c r="M122" s="165">
        <f t="shared" ca="1" si="120"/>
        <v>5.8509778567965087</v>
      </c>
      <c r="N122" s="165">
        <f t="shared" ca="1" si="99"/>
        <v>3.494686136416119</v>
      </c>
      <c r="O122" s="165">
        <f t="shared" ca="1" si="100"/>
        <v>5.2120528495021832</v>
      </c>
    </row>
    <row r="123" spans="1:19" ht="16.5" customHeight="1">
      <c r="A123" s="115" t="s">
        <v>146</v>
      </c>
      <c r="B123" s="116" t="s">
        <v>72</v>
      </c>
      <c r="C123" s="159"/>
      <c r="D123" s="30">
        <f t="shared" ref="D123:M123" ca="1" si="121">IF(C27="X","X",IF(D27="X","X",(D27-C27)/C$26*100))</f>
        <v>2.0626995965197809E-2</v>
      </c>
      <c r="E123" s="30">
        <f t="shared" ca="1" si="121"/>
        <v>-2.4459047401633865E-4</v>
      </c>
      <c r="F123" s="30">
        <f t="shared" ca="1" si="121"/>
        <v>-9.5855526550383261E-4</v>
      </c>
      <c r="G123" s="30">
        <f t="shared" ca="1" si="121"/>
        <v>4.4655325458747896E-2</v>
      </c>
      <c r="H123" s="30">
        <f t="shared" ca="1" si="121"/>
        <v>1.3529999391150029E-3</v>
      </c>
      <c r="I123" s="30">
        <f t="shared" ca="1" si="121"/>
        <v>1.6035028592189495E-2</v>
      </c>
      <c r="J123" s="30">
        <f t="shared" ca="1" si="121"/>
        <v>-3.6522277156819495E-3</v>
      </c>
      <c r="K123" s="30">
        <f t="shared" ca="1" si="121"/>
        <v>-1.3516383788063102E-2</v>
      </c>
      <c r="L123" s="30">
        <f t="shared" ca="1" si="121"/>
        <v>-4.5264490943858336E-2</v>
      </c>
      <c r="M123" s="30">
        <f t="shared" ca="1" si="121"/>
        <v>1.7755328389973891E-2</v>
      </c>
      <c r="N123" s="30">
        <f t="shared" ca="1" si="99"/>
        <v>-1.9256126795577408E-2</v>
      </c>
      <c r="O123" s="30">
        <f t="shared" ca="1" si="100"/>
        <v>2.9943884288691023E-2</v>
      </c>
    </row>
    <row r="124" spans="1:19" ht="16.5" customHeight="1">
      <c r="A124" s="118" t="s">
        <v>147</v>
      </c>
      <c r="B124" s="99" t="s">
        <v>73</v>
      </c>
      <c r="C124" s="159"/>
      <c r="D124" s="30">
        <f t="shared" ref="D124:M124" ca="1" si="122">IF(C28="X","X",IF(D28="X","X",(D28-C28)/C$26*100))</f>
        <v>0.23433885220069825</v>
      </c>
      <c r="E124" s="30">
        <f t="shared" ca="1" si="122"/>
        <v>0.32334860664959969</v>
      </c>
      <c r="F124" s="30">
        <f t="shared" ca="1" si="122"/>
        <v>2.0938840978876638</v>
      </c>
      <c r="G124" s="30">
        <f t="shared" ca="1" si="122"/>
        <v>0.64275661836267439</v>
      </c>
      <c r="H124" s="30">
        <f t="shared" ca="1" si="122"/>
        <v>0.7881976311977732</v>
      </c>
      <c r="I124" s="30">
        <f t="shared" ca="1" si="122"/>
        <v>-1.1051168354076546E-2</v>
      </c>
      <c r="J124" s="30">
        <f t="shared" ca="1" si="122"/>
        <v>-0.43275317815423575</v>
      </c>
      <c r="K124" s="30">
        <f t="shared" ca="1" si="122"/>
        <v>-0.51741289262770651</v>
      </c>
      <c r="L124" s="30">
        <f t="shared" ca="1" si="122"/>
        <v>-1.0018732868146989</v>
      </c>
      <c r="M124" s="30">
        <f t="shared" ca="1" si="122"/>
        <v>2.0249832598305204</v>
      </c>
      <c r="N124" s="30">
        <f t="shared" ca="1" si="99"/>
        <v>-2.4328912698287333</v>
      </c>
      <c r="O124" s="30">
        <f t="shared" ca="1" si="100"/>
        <v>5.1238928212444593E-2</v>
      </c>
    </row>
    <row r="125" spans="1:19" ht="16.5" customHeight="1">
      <c r="A125" s="119" t="s">
        <v>148</v>
      </c>
      <c r="B125" s="100" t="s">
        <v>74</v>
      </c>
      <c r="C125" s="163"/>
      <c r="D125" s="32">
        <f t="shared" ref="D125:M125" ca="1" si="123">IF(C29="X","X",IF(D29="X","X",(D29-C29)/C$26*100))</f>
        <v>-1.0332911625860266</v>
      </c>
      <c r="E125" s="32">
        <f t="shared" ca="1" si="123"/>
        <v>1.7898315586935609</v>
      </c>
      <c r="F125" s="32">
        <f t="shared" ca="1" si="123"/>
        <v>0.71588102412044563</v>
      </c>
      <c r="G125" s="32">
        <f t="shared" ca="1" si="123"/>
        <v>3.1473446807649905</v>
      </c>
      <c r="H125" s="32">
        <f t="shared" ca="1" si="123"/>
        <v>3.4387245119240637</v>
      </c>
      <c r="I125" s="32">
        <f t="shared" ca="1" si="123"/>
        <v>0.88120427398518852</v>
      </c>
      <c r="J125" s="32">
        <f t="shared" ca="1" si="123"/>
        <v>0.5986788961392373</v>
      </c>
      <c r="K125" s="32">
        <f t="shared" ca="1" si="123"/>
        <v>-9.8118934165198804E-2</v>
      </c>
      <c r="L125" s="32">
        <f t="shared" ca="1" si="123"/>
        <v>-8.5422311213556856</v>
      </c>
      <c r="M125" s="32">
        <f t="shared" ca="1" si="123"/>
        <v>3.9763973562873369</v>
      </c>
      <c r="N125" s="32">
        <f t="shared" ca="1" si="99"/>
        <v>5.8555925884973226</v>
      </c>
      <c r="O125" s="32">
        <f t="shared" ca="1" si="100"/>
        <v>5.1737508421717457</v>
      </c>
      <c r="R125" s="69" t="s">
        <v>247</v>
      </c>
    </row>
    <row r="126" spans="1:19" ht="16.5" customHeight="1">
      <c r="A126" s="115"/>
      <c r="B126" s="276" t="s">
        <v>279</v>
      </c>
      <c r="C126" s="27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R126" s="192" t="str">
        <f>"("&amp;地域分析!$E$2&amp;")"</f>
        <v>(令和５年度)</v>
      </c>
    </row>
    <row r="127" spans="1:19" ht="16.5" customHeight="1">
      <c r="A127" s="119"/>
      <c r="B127" s="277" t="s">
        <v>280</v>
      </c>
      <c r="C127" s="27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R127" s="24" t="s">
        <v>263</v>
      </c>
    </row>
    <row r="128" spans="1:19" ht="16.5" customHeight="1">
      <c r="R128" s="201" t="s">
        <v>249</v>
      </c>
      <c r="S128" s="202">
        <f ca="1">HLOOKUP(コード表!$K$108,地域分析BD!$C$132:$O$157,23,FALSE)</f>
        <v>4642960</v>
      </c>
    </row>
    <row r="129" spans="1:20" ht="16.5" customHeight="1">
      <c r="A129" s="194" t="s">
        <v>246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R129" s="201" t="s">
        <v>248</v>
      </c>
      <c r="S129" s="202">
        <f ca="1">地域分析!$E$29</f>
        <v>1447620</v>
      </c>
    </row>
    <row r="130" spans="1:20" ht="16.5" customHeight="1">
      <c r="A130" s="240"/>
      <c r="B130" s="193" t="s">
        <v>244</v>
      </c>
      <c r="C130" s="195" t="s">
        <v>245</v>
      </c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R130" s="203" t="str">
        <f>地域分析!$B$2</f>
        <v>那 覇 市</v>
      </c>
      <c r="S130" s="204">
        <f ca="1">S129/S128</f>
        <v>0.31178816961593464</v>
      </c>
    </row>
    <row r="131" spans="1:20" ht="16.5" customHeight="1">
      <c r="A131" s="34" t="s">
        <v>269</v>
      </c>
      <c r="B131" s="96"/>
      <c r="C131" s="97"/>
      <c r="D131" s="97"/>
      <c r="E131" s="97"/>
      <c r="F131" s="2"/>
      <c r="G131" s="2"/>
      <c r="H131" s="1"/>
      <c r="I131" s="2"/>
      <c r="J131" s="2"/>
      <c r="K131" s="2"/>
      <c r="L131" s="2"/>
      <c r="M131" s="2"/>
      <c r="N131" s="2"/>
      <c r="O131" s="2"/>
      <c r="R131" s="201" t="s">
        <v>265</v>
      </c>
      <c r="S131" s="204">
        <f ca="1">IF((1-S130)=0,NA(),(1-S130))</f>
        <v>0.68821183038406541</v>
      </c>
      <c r="T131" s="237"/>
    </row>
    <row r="132" spans="1:20" ht="16.5" customHeight="1">
      <c r="A132" s="6"/>
      <c r="B132" s="7"/>
      <c r="C132" s="27">
        <f>C$4</f>
        <v>23</v>
      </c>
      <c r="D132" s="27">
        <f t="shared" ref="D132:O132" si="124">D$4</f>
        <v>24</v>
      </c>
      <c r="E132" s="27">
        <f t="shared" si="124"/>
        <v>25</v>
      </c>
      <c r="F132" s="27">
        <f t="shared" si="124"/>
        <v>26</v>
      </c>
      <c r="G132" s="27">
        <f t="shared" si="124"/>
        <v>27</v>
      </c>
      <c r="H132" s="27">
        <f t="shared" si="124"/>
        <v>28</v>
      </c>
      <c r="I132" s="27">
        <f t="shared" si="124"/>
        <v>29</v>
      </c>
      <c r="J132" s="27">
        <f t="shared" si="124"/>
        <v>30</v>
      </c>
      <c r="K132" s="27">
        <f t="shared" si="124"/>
        <v>1</v>
      </c>
      <c r="L132" s="27">
        <f t="shared" si="124"/>
        <v>2</v>
      </c>
      <c r="M132" s="27">
        <f t="shared" si="124"/>
        <v>3</v>
      </c>
      <c r="N132" s="27">
        <f t="shared" si="124"/>
        <v>4</v>
      </c>
      <c r="O132" s="27">
        <f t="shared" si="124"/>
        <v>5</v>
      </c>
      <c r="R132" s="237"/>
      <c r="S132" s="237"/>
      <c r="T132" s="237"/>
    </row>
    <row r="133" spans="1:20" ht="16.5" customHeight="1" thickBot="1">
      <c r="A133" s="12"/>
      <c r="B133" s="13"/>
      <c r="C133" s="28">
        <f>C$5</f>
        <v>2011</v>
      </c>
      <c r="D133" s="28">
        <f t="shared" ref="D133:O133" si="125">D$5</f>
        <v>2012</v>
      </c>
      <c r="E133" s="28">
        <f t="shared" si="125"/>
        <v>2013</v>
      </c>
      <c r="F133" s="28">
        <f t="shared" si="125"/>
        <v>2014</v>
      </c>
      <c r="G133" s="28">
        <f t="shared" si="125"/>
        <v>2015</v>
      </c>
      <c r="H133" s="28">
        <f t="shared" si="125"/>
        <v>2016</v>
      </c>
      <c r="I133" s="28">
        <f t="shared" si="125"/>
        <v>2017</v>
      </c>
      <c r="J133" s="28">
        <f t="shared" si="125"/>
        <v>2018</v>
      </c>
      <c r="K133" s="28">
        <f t="shared" si="125"/>
        <v>2019</v>
      </c>
      <c r="L133" s="28">
        <f t="shared" si="125"/>
        <v>2020</v>
      </c>
      <c r="M133" s="28">
        <f t="shared" si="125"/>
        <v>2021</v>
      </c>
      <c r="N133" s="28">
        <f t="shared" si="125"/>
        <v>2022</v>
      </c>
      <c r="O133" s="28">
        <f t="shared" si="125"/>
        <v>2023</v>
      </c>
      <c r="R133" s="24" t="s">
        <v>264</v>
      </c>
      <c r="T133" s="237" t="s">
        <v>262</v>
      </c>
    </row>
    <row r="134" spans="1:20" ht="16.5" customHeight="1" thickBot="1">
      <c r="A134" s="114" t="s">
        <v>159</v>
      </c>
      <c r="B134" s="23" t="s">
        <v>51</v>
      </c>
      <c r="C134" s="117">
        <f ca="1">INDIRECT("'"&amp;コード表!$C$3&amp;"'!"&amp;コード表!$D68&amp;コード表!C$12)</f>
        <v>44995</v>
      </c>
      <c r="D134" s="48">
        <f ca="1">INDIRECT("'"&amp;コード表!$C$3&amp;"'!"&amp;コード表!$D68&amp;コード表!D$12)</f>
        <v>50283</v>
      </c>
      <c r="E134" s="48">
        <f ca="1">INDIRECT("'"&amp;コード表!$C$3&amp;"'!"&amp;コード表!$D68&amp;コード表!E$12)</f>
        <v>47093</v>
      </c>
      <c r="F134" s="48">
        <f ca="1">INDIRECT("'"&amp;コード表!$C$3&amp;"'!"&amp;コード表!$D68&amp;コード表!F$12)</f>
        <v>50557</v>
      </c>
      <c r="G134" s="48">
        <f ca="1">INDIRECT("'"&amp;コード表!$C$3&amp;"'!"&amp;コード表!$D68&amp;コード表!G$12)</f>
        <v>48437</v>
      </c>
      <c r="H134" s="48">
        <f ca="1">INDIRECT("'"&amp;コード表!$C$3&amp;"'!"&amp;コード表!$D68&amp;コード表!H$12)</f>
        <v>66520</v>
      </c>
      <c r="I134" s="48">
        <f ca="1">INDIRECT("'"&amp;コード表!$C$3&amp;"'!"&amp;コード表!$D68&amp;コード表!I$12)</f>
        <v>53380</v>
      </c>
      <c r="J134" s="48">
        <f ca="1">INDIRECT("'"&amp;コード表!$C$3&amp;"'!"&amp;コード表!$D68&amp;コード表!J$12)</f>
        <v>49063</v>
      </c>
      <c r="K134" s="48">
        <f ca="1">INDIRECT("'"&amp;コード表!$C$3&amp;"'!"&amp;コード表!$D68&amp;コード表!K$12)</f>
        <v>46941</v>
      </c>
      <c r="L134" s="48">
        <f ca="1">INDIRECT("'"&amp;コード表!$C$3&amp;"'!"&amp;コード表!$D68&amp;コード表!L$12)</f>
        <v>37606</v>
      </c>
      <c r="M134" s="48">
        <f ca="1">INDIRECT("'"&amp;コード表!$C$3&amp;"'!"&amp;コード表!$D68&amp;コード表!M$12)</f>
        <v>45040</v>
      </c>
      <c r="N134" s="48">
        <f ca="1">INDIRECT("'"&amp;コード表!$C$3&amp;"'!"&amp;コード表!$D68&amp;コード表!N$12)</f>
        <v>32225</v>
      </c>
      <c r="O134" s="48">
        <f ca="1">INDIRECT("'"&amp;コード表!$C$3&amp;"'!"&amp;コード表!$D68&amp;コード表!O$12)</f>
        <v>34275</v>
      </c>
      <c r="R134" s="227" t="str">
        <f>VLOOKUP(R130,コード表!$B$108:$C$155,2,FALSE)</f>
        <v>那　　覇</v>
      </c>
      <c r="S134" s="239">
        <f ca="1">VLOOKUP(R134,$B$165:$O$171,($T$134),FALSE)</f>
        <v>1447620</v>
      </c>
      <c r="T134" s="238">
        <f>HLOOKUP(コード表!$K$108,$C$162:$O$164,3,FALSE)</f>
        <v>14</v>
      </c>
    </row>
    <row r="135" spans="1:20" ht="16.5" customHeight="1">
      <c r="A135" s="114" t="s">
        <v>3</v>
      </c>
      <c r="B135" s="99" t="s">
        <v>52</v>
      </c>
      <c r="C135" s="36">
        <f ca="1">INDIRECT("'"&amp;コード表!$C$3&amp;"'!"&amp;コード表!$D69&amp;コード表!C$12)</f>
        <v>315</v>
      </c>
      <c r="D135" s="38">
        <f ca="1">INDIRECT("'"&amp;コード表!$C$3&amp;"'!"&amp;コード表!$D69&amp;コード表!D$12)</f>
        <v>293</v>
      </c>
      <c r="E135" s="38">
        <f ca="1">INDIRECT("'"&amp;コード表!$C$3&amp;"'!"&amp;コード表!$D69&amp;コード表!E$12)</f>
        <v>319</v>
      </c>
      <c r="F135" s="38">
        <f ca="1">INDIRECT("'"&amp;コード表!$C$3&amp;"'!"&amp;コード表!$D69&amp;コード表!F$12)</f>
        <v>361</v>
      </c>
      <c r="G135" s="38">
        <f ca="1">INDIRECT("'"&amp;コード表!$C$3&amp;"'!"&amp;コード表!$D69&amp;コード表!G$12)</f>
        <v>350</v>
      </c>
      <c r="H135" s="38">
        <f ca="1">INDIRECT("'"&amp;コード表!$C$3&amp;"'!"&amp;コード表!$D69&amp;コード表!H$12)</f>
        <v>354</v>
      </c>
      <c r="I135" s="38">
        <f ca="1">INDIRECT("'"&amp;コード表!$C$3&amp;"'!"&amp;コード表!$D69&amp;コード表!I$12)</f>
        <v>327</v>
      </c>
      <c r="J135" s="38">
        <f ca="1">INDIRECT("'"&amp;コード表!$C$3&amp;"'!"&amp;コード表!$D69&amp;コード表!J$12)</f>
        <v>322</v>
      </c>
      <c r="K135" s="38">
        <f ca="1">INDIRECT("'"&amp;コード表!$C$3&amp;"'!"&amp;コード表!$D69&amp;コード表!K$12)</f>
        <v>390</v>
      </c>
      <c r="L135" s="38">
        <f ca="1">INDIRECT("'"&amp;コード表!$C$3&amp;"'!"&amp;コード表!$D69&amp;コード表!L$12)</f>
        <v>419</v>
      </c>
      <c r="M135" s="38">
        <f ca="1">INDIRECT("'"&amp;コード表!$C$3&amp;"'!"&amp;コード表!$D69&amp;コード表!M$12)</f>
        <v>425</v>
      </c>
      <c r="N135" s="38">
        <f ca="1">INDIRECT("'"&amp;コード表!$C$3&amp;"'!"&amp;コード表!$D69&amp;コード表!N$12)</f>
        <v>360</v>
      </c>
      <c r="O135" s="38">
        <f ca="1">INDIRECT("'"&amp;コード表!$C$3&amp;"'!"&amp;コード表!$D69&amp;コード表!O$12)</f>
        <v>353</v>
      </c>
      <c r="R135" s="203" t="str">
        <f>地域分析!$B$2</f>
        <v>那 覇 市</v>
      </c>
      <c r="S135" s="204">
        <f ca="1">S129/S134</f>
        <v>1</v>
      </c>
    </row>
    <row r="136" spans="1:20" ht="16.5" customHeight="1">
      <c r="A136" s="114" t="s">
        <v>5</v>
      </c>
      <c r="B136" s="99" t="s">
        <v>53</v>
      </c>
      <c r="C136" s="36">
        <f ca="1">INDIRECT("'"&amp;コード表!$C$3&amp;"'!"&amp;コード表!$D70&amp;コード表!C$12)</f>
        <v>7380</v>
      </c>
      <c r="D136" s="38">
        <f ca="1">INDIRECT("'"&amp;コード表!$C$3&amp;"'!"&amp;コード表!$D70&amp;コード表!D$12)</f>
        <v>8313</v>
      </c>
      <c r="E136" s="38">
        <f ca="1">INDIRECT("'"&amp;コード表!$C$3&amp;"'!"&amp;コード表!$D70&amp;コード表!E$12)</f>
        <v>8068</v>
      </c>
      <c r="F136" s="38">
        <f ca="1">INDIRECT("'"&amp;コード表!$C$3&amp;"'!"&amp;コード表!$D70&amp;コード表!F$12)</f>
        <v>9031</v>
      </c>
      <c r="G136" s="38">
        <f ca="1">INDIRECT("'"&amp;コード表!$C$3&amp;"'!"&amp;コード表!$D70&amp;コード表!G$12)</f>
        <v>10852</v>
      </c>
      <c r="H136" s="38">
        <f ca="1">INDIRECT("'"&amp;コード表!$C$3&amp;"'!"&amp;コード表!$D70&amp;コード表!H$12)</f>
        <v>10808</v>
      </c>
      <c r="I136" s="38">
        <f ca="1">INDIRECT("'"&amp;コード表!$C$3&amp;"'!"&amp;コード表!$D70&amp;コード表!I$12)</f>
        <v>11361</v>
      </c>
      <c r="J136" s="38">
        <f ca="1">INDIRECT("'"&amp;コード表!$C$3&amp;"'!"&amp;コード表!$D70&amp;コード表!J$12)</f>
        <v>11288</v>
      </c>
      <c r="K136" s="38">
        <f ca="1">INDIRECT("'"&amp;コード表!$C$3&amp;"'!"&amp;コード表!$D70&amp;コード表!K$12)</f>
        <v>10516</v>
      </c>
      <c r="L136" s="38">
        <f ca="1">INDIRECT("'"&amp;コード表!$C$3&amp;"'!"&amp;コード表!$D70&amp;コード表!L$12)</f>
        <v>8629</v>
      </c>
      <c r="M136" s="38">
        <f ca="1">INDIRECT("'"&amp;コード表!$C$3&amp;"'!"&amp;コード表!$D70&amp;コード表!M$12)</f>
        <v>8206</v>
      </c>
      <c r="N136" s="38">
        <f ca="1">INDIRECT("'"&amp;コード表!$C$3&amp;"'!"&amp;コード表!$D70&amp;コード表!N$12)</f>
        <v>8062</v>
      </c>
      <c r="O136" s="38">
        <f ca="1">INDIRECT("'"&amp;コード表!$C$3&amp;"'!"&amp;コード表!$D70&amp;コード表!O$12)</f>
        <v>9348</v>
      </c>
      <c r="R136" s="201" t="s">
        <v>265</v>
      </c>
      <c r="S136" s="204" t="e">
        <f ca="1">IF((1-S135)=0,NA(),(1-S135))</f>
        <v>#N/A</v>
      </c>
    </row>
    <row r="137" spans="1:20" ht="16.5" customHeight="1">
      <c r="A137" s="114" t="s">
        <v>7</v>
      </c>
      <c r="B137" s="23" t="s">
        <v>54</v>
      </c>
      <c r="C137" s="36">
        <f ca="1">INDIRECT("'"&amp;コード表!$C$3&amp;"'!"&amp;コード表!$D71&amp;コード表!C$12)</f>
        <v>3211</v>
      </c>
      <c r="D137" s="38">
        <f ca="1">INDIRECT("'"&amp;コード表!$C$3&amp;"'!"&amp;コード表!$D71&amp;コード表!D$12)</f>
        <v>3203</v>
      </c>
      <c r="E137" s="38">
        <f ca="1">INDIRECT("'"&amp;コード表!$C$3&amp;"'!"&amp;コード表!$D71&amp;コード表!E$12)</f>
        <v>3888</v>
      </c>
      <c r="F137" s="38">
        <f ca="1">INDIRECT("'"&amp;コード表!$C$3&amp;"'!"&amp;コード表!$D71&amp;コード表!F$12)</f>
        <v>4507</v>
      </c>
      <c r="G137" s="38">
        <f ca="1">INDIRECT("'"&amp;コード表!$C$3&amp;"'!"&amp;コード表!$D71&amp;コード表!G$12)</f>
        <v>5690</v>
      </c>
      <c r="H137" s="38">
        <f ca="1">INDIRECT("'"&amp;コード表!$C$3&amp;"'!"&amp;コード表!$D71&amp;コード表!H$12)</f>
        <v>6137</v>
      </c>
      <c r="I137" s="38">
        <f ca="1">INDIRECT("'"&amp;コード表!$C$3&amp;"'!"&amp;コード表!$D71&amp;コード表!I$12)</f>
        <v>7071</v>
      </c>
      <c r="J137" s="38">
        <f ca="1">INDIRECT("'"&amp;コード表!$C$3&amp;"'!"&amp;コード表!$D71&amp;コード表!J$12)</f>
        <v>7599</v>
      </c>
      <c r="K137" s="38">
        <f ca="1">INDIRECT("'"&amp;コード表!$C$3&amp;"'!"&amp;コード表!$D71&amp;コード表!K$12)</f>
        <v>8128</v>
      </c>
      <c r="L137" s="38">
        <f ca="1">INDIRECT("'"&amp;コード表!$C$3&amp;"'!"&amp;コード表!$D71&amp;コード表!L$12)</f>
        <v>8679</v>
      </c>
      <c r="M137" s="38">
        <f ca="1">INDIRECT("'"&amp;コード表!$C$3&amp;"'!"&amp;コード表!$D71&amp;コード表!M$12)</f>
        <v>8756</v>
      </c>
      <c r="N137" s="38">
        <f ca="1">INDIRECT("'"&amp;コード表!$C$3&amp;"'!"&amp;コード表!$D71&amp;コード表!N$12)</f>
        <v>10909</v>
      </c>
      <c r="O137" s="38">
        <f ca="1">INDIRECT("'"&amp;コード表!$C$3&amp;"'!"&amp;コード表!$D71&amp;コード表!O$12)</f>
        <v>10846</v>
      </c>
    </row>
    <row r="138" spans="1:20" ht="16.5" customHeight="1">
      <c r="A138" s="114" t="s">
        <v>9</v>
      </c>
      <c r="B138" s="99" t="s">
        <v>55</v>
      </c>
      <c r="C138" s="36">
        <f ca="1">INDIRECT("'"&amp;コード表!$C$3&amp;"'!"&amp;コード表!$D72&amp;コード表!C$12)</f>
        <v>204545</v>
      </c>
      <c r="D138" s="38">
        <f ca="1">INDIRECT("'"&amp;コード表!$C$3&amp;"'!"&amp;コード表!$D72&amp;コード表!D$12)</f>
        <v>163211</v>
      </c>
      <c r="E138" s="38">
        <f ca="1">INDIRECT("'"&amp;コード表!$C$3&amp;"'!"&amp;コード表!$D72&amp;コード表!E$12)</f>
        <v>172086</v>
      </c>
      <c r="F138" s="38">
        <f ca="1">INDIRECT("'"&amp;コード表!$C$3&amp;"'!"&amp;コード表!$D72&amp;コード表!F$12)</f>
        <v>166195</v>
      </c>
      <c r="G138" s="38">
        <f ca="1">INDIRECT("'"&amp;コード表!$C$3&amp;"'!"&amp;コード表!$D72&amp;コード表!G$12)</f>
        <v>188132</v>
      </c>
      <c r="H138" s="38">
        <f ca="1">INDIRECT("'"&amp;コード表!$C$3&amp;"'!"&amp;コード表!$D72&amp;コード表!H$12)</f>
        <v>192248</v>
      </c>
      <c r="I138" s="38">
        <f ca="1">INDIRECT("'"&amp;コード表!$C$3&amp;"'!"&amp;コード表!$D72&amp;コード表!I$12)</f>
        <v>191828</v>
      </c>
      <c r="J138" s="38">
        <f ca="1">INDIRECT("'"&amp;コード表!$C$3&amp;"'!"&amp;コード表!$D72&amp;コード表!J$12)</f>
        <v>195438</v>
      </c>
      <c r="K138" s="38">
        <f ca="1">INDIRECT("'"&amp;コード表!$C$3&amp;"'!"&amp;コード表!$D72&amp;コード表!K$12)</f>
        <v>188298</v>
      </c>
      <c r="L138" s="38">
        <f ca="1">INDIRECT("'"&amp;コード表!$C$3&amp;"'!"&amp;コード表!$D72&amp;コード表!L$12)</f>
        <v>206713</v>
      </c>
      <c r="M138" s="38">
        <f ca="1">INDIRECT("'"&amp;コード表!$C$3&amp;"'!"&amp;コード表!$D72&amp;コード表!M$12)</f>
        <v>184490</v>
      </c>
      <c r="N138" s="38">
        <f ca="1">INDIRECT("'"&amp;コード表!$C$3&amp;"'!"&amp;コード表!$D72&amp;コード表!N$12)</f>
        <v>178929</v>
      </c>
      <c r="O138" s="38">
        <f ca="1">INDIRECT("'"&amp;コード表!$C$3&amp;"'!"&amp;コード表!$D72&amp;コード表!O$12)</f>
        <v>199105</v>
      </c>
    </row>
    <row r="139" spans="1:20" ht="16.5" customHeight="1">
      <c r="A139" s="114" t="s">
        <v>11</v>
      </c>
      <c r="B139" s="99" t="s">
        <v>57</v>
      </c>
      <c r="C139" s="36">
        <f ca="1">INDIRECT("'"&amp;コード表!$C$3&amp;"'!"&amp;コード表!$D74&amp;コード表!C$12)</f>
        <v>254969</v>
      </c>
      <c r="D139" s="38">
        <f ca="1">INDIRECT("'"&amp;コード表!$C$3&amp;"'!"&amp;コード表!$D74&amp;コード表!D$12)</f>
        <v>250186</v>
      </c>
      <c r="E139" s="38">
        <f ca="1">INDIRECT("'"&amp;コード表!$C$3&amp;"'!"&amp;コード表!$D74&amp;コード表!E$12)</f>
        <v>302805</v>
      </c>
      <c r="F139" s="38">
        <f ca="1">INDIRECT("'"&amp;コード表!$C$3&amp;"'!"&amp;コード表!$D74&amp;コード表!F$12)</f>
        <v>331952</v>
      </c>
      <c r="G139" s="38">
        <f ca="1">INDIRECT("'"&amp;コード表!$C$3&amp;"'!"&amp;コード表!$D74&amp;コード表!G$12)</f>
        <v>383559</v>
      </c>
      <c r="H139" s="38">
        <f ca="1">INDIRECT("'"&amp;コード表!$C$3&amp;"'!"&amp;コード表!$D74&amp;コード表!H$12)</f>
        <v>410145</v>
      </c>
      <c r="I139" s="38">
        <f ca="1">INDIRECT("'"&amp;コード表!$C$3&amp;"'!"&amp;コード表!$D74&amp;コード表!I$12)</f>
        <v>447606</v>
      </c>
      <c r="J139" s="38">
        <f ca="1">INDIRECT("'"&amp;コード表!$C$3&amp;"'!"&amp;コード表!$D74&amp;コード表!J$12)</f>
        <v>455228</v>
      </c>
      <c r="K139" s="38">
        <f ca="1">INDIRECT("'"&amp;コード表!$C$3&amp;"'!"&amp;コード表!$D74&amp;コード表!K$12)</f>
        <v>473538</v>
      </c>
      <c r="L139" s="38">
        <f ca="1">INDIRECT("'"&amp;コード表!$C$3&amp;"'!"&amp;コード表!$D74&amp;コード表!L$12)</f>
        <v>388347</v>
      </c>
      <c r="M139" s="38">
        <f ca="1">INDIRECT("'"&amp;コード表!$C$3&amp;"'!"&amp;コード表!$D74&amp;コード表!M$12)</f>
        <v>466468</v>
      </c>
      <c r="N139" s="38">
        <f ca="1">INDIRECT("'"&amp;コード表!$C$3&amp;"'!"&amp;コード表!$D74&amp;コード表!N$12)</f>
        <v>389153</v>
      </c>
      <c r="O139" s="38">
        <f ca="1">INDIRECT("'"&amp;コード表!$C$3&amp;"'!"&amp;コード表!$D74&amp;コード表!O$12)</f>
        <v>380970</v>
      </c>
    </row>
    <row r="140" spans="1:20" ht="16.5" customHeight="1">
      <c r="A140" s="114" t="s">
        <v>13</v>
      </c>
      <c r="B140" s="99" t="s">
        <v>56</v>
      </c>
      <c r="C140" s="36">
        <f ca="1">INDIRECT("'"&amp;コード表!$C$3&amp;"'!"&amp;コード表!$D73&amp;コード表!C$12)</f>
        <v>141969</v>
      </c>
      <c r="D140" s="38">
        <f ca="1">INDIRECT("'"&amp;コード表!$C$3&amp;"'!"&amp;コード表!$D73&amp;コード表!D$12)</f>
        <v>139039</v>
      </c>
      <c r="E140" s="38">
        <f ca="1">INDIRECT("'"&amp;コード表!$C$3&amp;"'!"&amp;コード表!$D73&amp;コード表!E$12)</f>
        <v>147632</v>
      </c>
      <c r="F140" s="38">
        <f ca="1">INDIRECT("'"&amp;コード表!$C$3&amp;"'!"&amp;コード表!$D73&amp;コード表!F$12)</f>
        <v>160241</v>
      </c>
      <c r="G140" s="38">
        <f ca="1">INDIRECT("'"&amp;コード表!$C$3&amp;"'!"&amp;コード表!$D73&amp;コード表!G$12)</f>
        <v>166736</v>
      </c>
      <c r="H140" s="38">
        <f ca="1">INDIRECT("'"&amp;コード表!$C$3&amp;"'!"&amp;コード表!$D73&amp;コード表!H$12)</f>
        <v>167874</v>
      </c>
      <c r="I140" s="38">
        <f ca="1">INDIRECT("'"&amp;コード表!$C$3&amp;"'!"&amp;コード表!$D73&amp;コード表!I$12)</f>
        <v>172291</v>
      </c>
      <c r="J140" s="38">
        <f ca="1">INDIRECT("'"&amp;コード表!$C$3&amp;"'!"&amp;コード表!$D73&amp;コード表!J$12)</f>
        <v>168481</v>
      </c>
      <c r="K140" s="38">
        <f ca="1">INDIRECT("'"&amp;コード表!$C$3&amp;"'!"&amp;コード表!$D73&amp;コード表!K$12)</f>
        <v>182354</v>
      </c>
      <c r="L140" s="38">
        <f ca="1">INDIRECT("'"&amp;コード表!$C$3&amp;"'!"&amp;コード表!$D73&amp;コード表!L$12)</f>
        <v>186219</v>
      </c>
      <c r="M140" s="38">
        <f ca="1">INDIRECT("'"&amp;コード表!$C$3&amp;"'!"&amp;コード表!$D73&amp;コード表!M$12)</f>
        <v>182319</v>
      </c>
      <c r="N140" s="38">
        <f ca="1">INDIRECT("'"&amp;コード表!$C$3&amp;"'!"&amp;コード表!$D73&amp;コード表!N$12)</f>
        <v>88174</v>
      </c>
      <c r="O140" s="38">
        <f ca="1">INDIRECT("'"&amp;コード表!$C$3&amp;"'!"&amp;コード表!$D73&amp;コード表!O$12)</f>
        <v>133850</v>
      </c>
    </row>
    <row r="141" spans="1:20" ht="16.5" customHeight="1">
      <c r="A141" s="114" t="s">
        <v>15</v>
      </c>
      <c r="B141" s="99" t="s">
        <v>58</v>
      </c>
      <c r="C141" s="36">
        <f ca="1">INDIRECT("'"&amp;コード表!$C$3&amp;"'!"&amp;コード表!$D75&amp;コード表!C$12)</f>
        <v>379415</v>
      </c>
      <c r="D141" s="38">
        <f ca="1">INDIRECT("'"&amp;コード表!$C$3&amp;"'!"&amp;コード表!$D75&amp;コード表!D$12)</f>
        <v>394115</v>
      </c>
      <c r="E141" s="38">
        <f ca="1">INDIRECT("'"&amp;コード表!$C$3&amp;"'!"&amp;コード表!$D75&amp;コード表!E$12)</f>
        <v>414289</v>
      </c>
      <c r="F141" s="38">
        <f ca="1">INDIRECT("'"&amp;コード表!$C$3&amp;"'!"&amp;コード表!$D75&amp;コード表!F$12)</f>
        <v>409943</v>
      </c>
      <c r="G141" s="38">
        <f ca="1">INDIRECT("'"&amp;コード表!$C$3&amp;"'!"&amp;コード表!$D75&amp;コード表!G$12)</f>
        <v>413862</v>
      </c>
      <c r="H141" s="38">
        <f ca="1">INDIRECT("'"&amp;コード表!$C$3&amp;"'!"&amp;コード表!$D75&amp;コード表!H$12)</f>
        <v>412091</v>
      </c>
      <c r="I141" s="38">
        <f ca="1">INDIRECT("'"&amp;コード表!$C$3&amp;"'!"&amp;コード表!$D75&amp;コード表!I$12)</f>
        <v>424960</v>
      </c>
      <c r="J141" s="38">
        <f ca="1">INDIRECT("'"&amp;コード表!$C$3&amp;"'!"&amp;コード表!$D75&amp;コード表!J$12)</f>
        <v>420644</v>
      </c>
      <c r="K141" s="38">
        <f ca="1">INDIRECT("'"&amp;コード表!$C$3&amp;"'!"&amp;コード表!$D75&amp;コード表!K$12)</f>
        <v>410688</v>
      </c>
      <c r="L141" s="38">
        <f ca="1">INDIRECT("'"&amp;コード表!$C$3&amp;"'!"&amp;コード表!$D75&amp;コード表!L$12)</f>
        <v>383657</v>
      </c>
      <c r="M141" s="38">
        <f ca="1">INDIRECT("'"&amp;コード表!$C$3&amp;"'!"&amp;コード表!$D75&amp;コード表!M$12)</f>
        <v>403487</v>
      </c>
      <c r="N141" s="38">
        <f ca="1">INDIRECT("'"&amp;コード表!$C$3&amp;"'!"&amp;コード表!$D75&amp;コード表!N$12)</f>
        <v>413952</v>
      </c>
      <c r="O141" s="38">
        <f ca="1">INDIRECT("'"&amp;コード表!$C$3&amp;"'!"&amp;コード表!$D75&amp;コード表!O$12)</f>
        <v>433103</v>
      </c>
    </row>
    <row r="142" spans="1:20" ht="16.5" customHeight="1">
      <c r="A142" s="114" t="s">
        <v>16</v>
      </c>
      <c r="B142" s="99" t="s">
        <v>59</v>
      </c>
      <c r="C142" s="36">
        <f ca="1">INDIRECT("'"&amp;コード表!$C$3&amp;"'!"&amp;コード表!$D76&amp;コード表!C$12)</f>
        <v>239710</v>
      </c>
      <c r="D142" s="38">
        <f ca="1">INDIRECT("'"&amp;コード表!$C$3&amp;"'!"&amp;コード表!$D76&amp;コード表!D$12)</f>
        <v>238099</v>
      </c>
      <c r="E142" s="38">
        <f ca="1">INDIRECT("'"&amp;コード表!$C$3&amp;"'!"&amp;コード表!$D76&amp;コード表!E$12)</f>
        <v>250788</v>
      </c>
      <c r="F142" s="38">
        <f ca="1">INDIRECT("'"&amp;コード表!$C$3&amp;"'!"&amp;コード表!$D76&amp;コード表!F$12)</f>
        <v>247565</v>
      </c>
      <c r="G142" s="38">
        <f ca="1">INDIRECT("'"&amp;コード表!$C$3&amp;"'!"&amp;コード表!$D76&amp;コード表!G$12)</f>
        <v>262743</v>
      </c>
      <c r="H142" s="38">
        <f ca="1">INDIRECT("'"&amp;コード表!$C$3&amp;"'!"&amp;コード表!$D76&amp;コード表!H$12)</f>
        <v>282397</v>
      </c>
      <c r="I142" s="38">
        <f ca="1">INDIRECT("'"&amp;コード表!$C$3&amp;"'!"&amp;コード表!$D76&amp;コード表!I$12)</f>
        <v>285175</v>
      </c>
      <c r="J142" s="38">
        <f ca="1">INDIRECT("'"&amp;コード表!$C$3&amp;"'!"&amp;コード表!$D76&amp;コード表!J$12)</f>
        <v>288262</v>
      </c>
      <c r="K142" s="38">
        <f ca="1">INDIRECT("'"&amp;コード表!$C$3&amp;"'!"&amp;コード表!$D76&amp;コード表!K$12)</f>
        <v>283130</v>
      </c>
      <c r="L142" s="38">
        <f ca="1">INDIRECT("'"&amp;コード表!$C$3&amp;"'!"&amp;コード表!$D76&amp;コード表!L$12)</f>
        <v>191628</v>
      </c>
      <c r="M142" s="38">
        <f ca="1">INDIRECT("'"&amp;コード表!$C$3&amp;"'!"&amp;コード表!$D76&amp;コード表!M$12)</f>
        <v>200729</v>
      </c>
      <c r="N142" s="38">
        <f ca="1">INDIRECT("'"&amp;コード表!$C$3&amp;"'!"&amp;コード表!$D76&amp;コード表!N$12)</f>
        <v>253359</v>
      </c>
      <c r="O142" s="38">
        <f ca="1">INDIRECT("'"&amp;コード表!$C$3&amp;"'!"&amp;コード表!$D76&amp;コード表!O$12)</f>
        <v>313364</v>
      </c>
    </row>
    <row r="143" spans="1:20" ht="16.5" customHeight="1">
      <c r="A143" s="18">
        <v>10</v>
      </c>
      <c r="B143" s="99" t="s">
        <v>60</v>
      </c>
      <c r="C143" s="36">
        <f ca="1">INDIRECT("'"&amp;コード表!$C$3&amp;"'!"&amp;コード表!$D77&amp;コード表!C$12)</f>
        <v>158687</v>
      </c>
      <c r="D143" s="38">
        <f ca="1">INDIRECT("'"&amp;コード表!$C$3&amp;"'!"&amp;コード表!$D77&amp;コード表!D$12)</f>
        <v>157443</v>
      </c>
      <c r="E143" s="38">
        <f ca="1">INDIRECT("'"&amp;コード表!$C$3&amp;"'!"&amp;コード表!$D77&amp;コード表!E$12)</f>
        <v>164742</v>
      </c>
      <c r="F143" s="38">
        <f ca="1">INDIRECT("'"&amp;コード表!$C$3&amp;"'!"&amp;コード表!$D77&amp;コード表!F$12)</f>
        <v>164642</v>
      </c>
      <c r="G143" s="38">
        <f ca="1">INDIRECT("'"&amp;コード表!$C$3&amp;"'!"&amp;コード表!$D77&amp;コード表!G$12)</f>
        <v>170098</v>
      </c>
      <c r="H143" s="38">
        <f ca="1">INDIRECT("'"&amp;コード表!$C$3&amp;"'!"&amp;コード表!$D77&amp;コード表!H$12)</f>
        <v>194779</v>
      </c>
      <c r="I143" s="38">
        <f ca="1">INDIRECT("'"&amp;コード表!$C$3&amp;"'!"&amp;コード表!$D77&amp;コード表!I$12)</f>
        <v>203865</v>
      </c>
      <c r="J143" s="38">
        <f ca="1">INDIRECT("'"&amp;コード表!$C$3&amp;"'!"&amp;コード表!$D77&amp;コード表!J$12)</f>
        <v>205375</v>
      </c>
      <c r="K143" s="38">
        <f ca="1">INDIRECT("'"&amp;コード表!$C$3&amp;"'!"&amp;コード表!$D77&amp;コード表!K$12)</f>
        <v>192840</v>
      </c>
      <c r="L143" s="38">
        <f ca="1">INDIRECT("'"&amp;コード表!$C$3&amp;"'!"&amp;コード表!$D77&amp;コード表!L$12)</f>
        <v>111771</v>
      </c>
      <c r="M143" s="38">
        <f ca="1">INDIRECT("'"&amp;コード表!$C$3&amp;"'!"&amp;コード表!$D77&amp;コード表!M$12)</f>
        <v>109883</v>
      </c>
      <c r="N143" s="38">
        <f ca="1">INDIRECT("'"&amp;コード表!$C$3&amp;"'!"&amp;コード表!$D77&amp;コード表!N$12)</f>
        <v>165855</v>
      </c>
      <c r="O143" s="38">
        <f ca="1">INDIRECT("'"&amp;コード表!$C$3&amp;"'!"&amp;コード表!$D77&amp;コード表!O$12)</f>
        <v>223046</v>
      </c>
    </row>
    <row r="144" spans="1:20" ht="16.5" customHeight="1">
      <c r="A144" s="18">
        <v>11</v>
      </c>
      <c r="B144" s="99" t="s">
        <v>61</v>
      </c>
      <c r="C144" s="36">
        <f ca="1">INDIRECT("'"&amp;コード表!$C$3&amp;"'!"&amp;コード表!$D78&amp;コード表!C$12)</f>
        <v>176104</v>
      </c>
      <c r="D144" s="38">
        <f ca="1">INDIRECT("'"&amp;コード表!$C$3&amp;"'!"&amp;コード表!$D78&amp;コード表!D$12)</f>
        <v>186100</v>
      </c>
      <c r="E144" s="38">
        <f ca="1">INDIRECT("'"&amp;コード表!$C$3&amp;"'!"&amp;コード表!$D78&amp;コード表!E$12)</f>
        <v>192395</v>
      </c>
      <c r="F144" s="38">
        <f ca="1">INDIRECT("'"&amp;コード表!$C$3&amp;"'!"&amp;コード表!$D78&amp;コード表!F$12)</f>
        <v>188913</v>
      </c>
      <c r="G144" s="38">
        <f ca="1">INDIRECT("'"&amp;コード表!$C$3&amp;"'!"&amp;コード表!$D78&amp;コード表!G$12)</f>
        <v>195210</v>
      </c>
      <c r="H144" s="38">
        <f ca="1">INDIRECT("'"&amp;コード表!$C$3&amp;"'!"&amp;コード表!$D78&amp;コード表!H$12)</f>
        <v>205916</v>
      </c>
      <c r="I144" s="38">
        <f ca="1">INDIRECT("'"&amp;コード表!$C$3&amp;"'!"&amp;コード表!$D78&amp;コード表!I$12)</f>
        <v>200691</v>
      </c>
      <c r="J144" s="38">
        <f ca="1">INDIRECT("'"&amp;コード表!$C$3&amp;"'!"&amp;コード表!$D78&amp;コード表!J$12)</f>
        <v>203957</v>
      </c>
      <c r="K144" s="38">
        <f ca="1">INDIRECT("'"&amp;コード表!$C$3&amp;"'!"&amp;コード表!$D78&amp;コード表!K$12)</f>
        <v>189543</v>
      </c>
      <c r="L144" s="38">
        <f ca="1">INDIRECT("'"&amp;コード表!$C$3&amp;"'!"&amp;コード表!$D78&amp;コード表!L$12)</f>
        <v>188723</v>
      </c>
      <c r="M144" s="38">
        <f ca="1">INDIRECT("'"&amp;コード表!$C$3&amp;"'!"&amp;コード表!$D78&amp;コード表!M$12)</f>
        <v>175901</v>
      </c>
      <c r="N144" s="38">
        <f ca="1">INDIRECT("'"&amp;コード表!$C$3&amp;"'!"&amp;コード表!$D78&amp;コード表!N$12)</f>
        <v>171820</v>
      </c>
      <c r="O144" s="38">
        <f ca="1">INDIRECT("'"&amp;コード表!$C$3&amp;"'!"&amp;コード表!$D78&amp;コード表!O$12)</f>
        <v>174380</v>
      </c>
    </row>
    <row r="145" spans="1:15" ht="16.5" customHeight="1">
      <c r="A145" s="18">
        <v>12</v>
      </c>
      <c r="B145" s="99" t="s">
        <v>62</v>
      </c>
      <c r="C145" s="36">
        <f ca="1">INDIRECT("'"&amp;コード表!$C$3&amp;"'!"&amp;コード表!$D79&amp;コード表!C$12)</f>
        <v>143940</v>
      </c>
      <c r="D145" s="38">
        <f ca="1">INDIRECT("'"&amp;コード表!$C$3&amp;"'!"&amp;コード表!$D79&amp;コード表!D$12)</f>
        <v>138700</v>
      </c>
      <c r="E145" s="38">
        <f ca="1">INDIRECT("'"&amp;コード表!$C$3&amp;"'!"&amp;コード表!$D79&amp;コード表!E$12)</f>
        <v>144380</v>
      </c>
      <c r="F145" s="38">
        <f ca="1">INDIRECT("'"&amp;コード表!$C$3&amp;"'!"&amp;コード表!$D79&amp;コード表!F$12)</f>
        <v>142529</v>
      </c>
      <c r="G145" s="38">
        <f ca="1">INDIRECT("'"&amp;コード表!$C$3&amp;"'!"&amp;コード表!$D79&amp;コード表!G$12)</f>
        <v>147509</v>
      </c>
      <c r="H145" s="38">
        <f ca="1">INDIRECT("'"&amp;コード表!$C$3&amp;"'!"&amp;コード表!$D79&amp;コード表!H$12)</f>
        <v>138298</v>
      </c>
      <c r="I145" s="38">
        <f ca="1">INDIRECT("'"&amp;コード表!$C$3&amp;"'!"&amp;コード表!$D79&amp;コード表!I$12)</f>
        <v>141931</v>
      </c>
      <c r="J145" s="38">
        <f ca="1">INDIRECT("'"&amp;コード表!$C$3&amp;"'!"&amp;コード表!$D79&amp;コード表!J$12)</f>
        <v>146137</v>
      </c>
      <c r="K145" s="38">
        <f ca="1">INDIRECT("'"&amp;コード表!$C$3&amp;"'!"&amp;コード表!$D79&amp;コード表!K$12)</f>
        <v>152631</v>
      </c>
      <c r="L145" s="38">
        <f ca="1">INDIRECT("'"&amp;コード表!$C$3&amp;"'!"&amp;コード表!$D79&amp;コード表!L$12)</f>
        <v>150210</v>
      </c>
      <c r="M145" s="38">
        <f ca="1">INDIRECT("'"&amp;コード表!$C$3&amp;"'!"&amp;コード表!$D79&amp;コード表!M$12)</f>
        <v>155639</v>
      </c>
      <c r="N145" s="38">
        <f ca="1">INDIRECT("'"&amp;コード表!$C$3&amp;"'!"&amp;コード表!$D79&amp;コード表!N$12)</f>
        <v>175435</v>
      </c>
      <c r="O145" s="38">
        <f ca="1">INDIRECT("'"&amp;コード表!$C$3&amp;"'!"&amp;コード表!$D79&amp;コード表!O$12)</f>
        <v>184172</v>
      </c>
    </row>
    <row r="146" spans="1:15" ht="16.5" customHeight="1">
      <c r="A146" s="18">
        <v>13</v>
      </c>
      <c r="B146" s="99" t="s">
        <v>63</v>
      </c>
      <c r="C146" s="36">
        <f ca="1">INDIRECT("'"&amp;コード表!$C$3&amp;"'!"&amp;コード表!$D80&amp;コード表!C$12)</f>
        <v>457911</v>
      </c>
      <c r="D146" s="38">
        <f ca="1">INDIRECT("'"&amp;コード表!$C$3&amp;"'!"&amp;コード表!$D80&amp;コード表!D$12)</f>
        <v>459644</v>
      </c>
      <c r="E146" s="38">
        <f ca="1">INDIRECT("'"&amp;コード表!$C$3&amp;"'!"&amp;コード表!$D80&amp;コード表!E$12)</f>
        <v>461131</v>
      </c>
      <c r="F146" s="38">
        <f ca="1">INDIRECT("'"&amp;コード表!$C$3&amp;"'!"&amp;コード表!$D80&amp;コード表!F$12)</f>
        <v>474578</v>
      </c>
      <c r="G146" s="38">
        <f ca="1">INDIRECT("'"&amp;コード表!$C$3&amp;"'!"&amp;コード表!$D80&amp;コード表!G$12)</f>
        <v>479972</v>
      </c>
      <c r="H146" s="38">
        <f ca="1">INDIRECT("'"&amp;コード表!$C$3&amp;"'!"&amp;コード表!$D80&amp;コード表!H$12)</f>
        <v>487476</v>
      </c>
      <c r="I146" s="38">
        <f ca="1">INDIRECT("'"&amp;コード表!$C$3&amp;"'!"&amp;コード表!$D80&amp;コード表!I$12)</f>
        <v>505905</v>
      </c>
      <c r="J146" s="38">
        <f ca="1">INDIRECT("'"&amp;コード表!$C$3&amp;"'!"&amp;コード表!$D80&amp;コード表!J$12)</f>
        <v>509431</v>
      </c>
      <c r="K146" s="38">
        <f ca="1">INDIRECT("'"&amp;コード表!$C$3&amp;"'!"&amp;コード表!$D80&amp;コード表!K$12)</f>
        <v>529083</v>
      </c>
      <c r="L146" s="38">
        <f ca="1">INDIRECT("'"&amp;コード表!$C$3&amp;"'!"&amp;コード表!$D80&amp;コード表!L$12)</f>
        <v>547265</v>
      </c>
      <c r="M146" s="38">
        <f ca="1">INDIRECT("'"&amp;コード表!$C$3&amp;"'!"&amp;コード表!$D80&amp;コード表!M$12)</f>
        <v>568910</v>
      </c>
      <c r="N146" s="38">
        <f ca="1">INDIRECT("'"&amp;コード表!$C$3&amp;"'!"&amp;コード表!$D80&amp;コード表!N$12)</f>
        <v>590513</v>
      </c>
      <c r="O146" s="38">
        <f ca="1">INDIRECT("'"&amp;コード表!$C$3&amp;"'!"&amp;コード表!$D80&amp;コード表!O$12)</f>
        <v>589201</v>
      </c>
    </row>
    <row r="147" spans="1:15" ht="16.5" customHeight="1">
      <c r="A147" s="18">
        <v>14</v>
      </c>
      <c r="B147" s="99" t="s">
        <v>64</v>
      </c>
      <c r="C147" s="36">
        <f ca="1">INDIRECT("'"&amp;コード表!$C$3&amp;"'!"&amp;コード表!$D81&amp;コード表!C$12)</f>
        <v>327730</v>
      </c>
      <c r="D147" s="38">
        <f ca="1">INDIRECT("'"&amp;コード表!$C$3&amp;"'!"&amp;コード表!$D81&amp;コード表!D$12)</f>
        <v>341640</v>
      </c>
      <c r="E147" s="38">
        <f ca="1">INDIRECT("'"&amp;コード表!$C$3&amp;"'!"&amp;コード表!$D81&amp;コード表!E$12)</f>
        <v>358964</v>
      </c>
      <c r="F147" s="38">
        <f ca="1">INDIRECT("'"&amp;コード表!$C$3&amp;"'!"&amp;コード表!$D81&amp;コード表!F$12)</f>
        <v>369989</v>
      </c>
      <c r="G147" s="38">
        <f ca="1">INDIRECT("'"&amp;コード表!$C$3&amp;"'!"&amp;コード表!$D81&amp;コード表!G$12)</f>
        <v>405237</v>
      </c>
      <c r="H147" s="38">
        <f ca="1">INDIRECT("'"&amp;コード表!$C$3&amp;"'!"&amp;コード表!$D81&amp;コード表!H$12)</f>
        <v>442960</v>
      </c>
      <c r="I147" s="38">
        <f ca="1">INDIRECT("'"&amp;コード表!$C$3&amp;"'!"&amp;コード表!$D81&amp;コード表!I$12)</f>
        <v>434576</v>
      </c>
      <c r="J147" s="38">
        <f ca="1">INDIRECT("'"&amp;コード表!$C$3&amp;"'!"&amp;コード表!$D81&amp;コード表!J$12)</f>
        <v>423805</v>
      </c>
      <c r="K147" s="38">
        <f ca="1">INDIRECT("'"&amp;コード表!$C$3&amp;"'!"&amp;コード表!$D81&amp;コード表!K$12)</f>
        <v>416817</v>
      </c>
      <c r="L147" s="38">
        <f ca="1">INDIRECT("'"&amp;コード表!$C$3&amp;"'!"&amp;コード表!$D81&amp;コード表!L$12)</f>
        <v>419516</v>
      </c>
      <c r="M147" s="38">
        <f ca="1">INDIRECT("'"&amp;コード表!$C$3&amp;"'!"&amp;コード表!$D81&amp;コード表!M$12)</f>
        <v>460138</v>
      </c>
      <c r="N147" s="38">
        <f ca="1">INDIRECT("'"&amp;コード表!$C$3&amp;"'!"&amp;コード表!$D81&amp;コード表!N$12)</f>
        <v>489367</v>
      </c>
      <c r="O147" s="38">
        <f ca="1">INDIRECT("'"&amp;コード表!$C$3&amp;"'!"&amp;コード表!$D81&amp;コード表!O$12)</f>
        <v>474326</v>
      </c>
    </row>
    <row r="148" spans="1:15" ht="16.5" customHeight="1">
      <c r="A148" s="18">
        <v>15</v>
      </c>
      <c r="B148" s="99" t="s">
        <v>65</v>
      </c>
      <c r="C148" s="36">
        <f ca="1">INDIRECT("'"&amp;コード表!$C$3&amp;"'!"&amp;コード表!$D82&amp;コード表!C$12)</f>
        <v>372693</v>
      </c>
      <c r="D148" s="38">
        <f ca="1">INDIRECT("'"&amp;コード表!$C$3&amp;"'!"&amp;コード表!$D82&amp;コード表!D$12)</f>
        <v>372209</v>
      </c>
      <c r="E148" s="38">
        <f ca="1">INDIRECT("'"&amp;コード表!$C$3&amp;"'!"&amp;コード表!$D82&amp;コード表!E$12)</f>
        <v>361687</v>
      </c>
      <c r="F148" s="38">
        <f ca="1">INDIRECT("'"&amp;コード表!$C$3&amp;"'!"&amp;コード表!$D82&amp;コード表!F$12)</f>
        <v>374291</v>
      </c>
      <c r="G148" s="38">
        <f ca="1">INDIRECT("'"&amp;コード表!$C$3&amp;"'!"&amp;コード表!$D82&amp;コード表!G$12)</f>
        <v>384368</v>
      </c>
      <c r="H148" s="38">
        <f ca="1">INDIRECT("'"&amp;コード表!$C$3&amp;"'!"&amp;コード表!$D82&amp;コード表!H$12)</f>
        <v>391565</v>
      </c>
      <c r="I148" s="38">
        <f ca="1">INDIRECT("'"&amp;コード表!$C$3&amp;"'!"&amp;コード表!$D82&amp;コード表!I$12)</f>
        <v>402025</v>
      </c>
      <c r="J148" s="38">
        <f ca="1">INDIRECT("'"&amp;コード表!$C$3&amp;"'!"&amp;コード表!$D82&amp;コード表!J$12)</f>
        <v>415265</v>
      </c>
      <c r="K148" s="38">
        <f ca="1">INDIRECT("'"&amp;コード表!$C$3&amp;"'!"&amp;コード表!$D82&amp;コード表!K$12)</f>
        <v>434122</v>
      </c>
      <c r="L148" s="38">
        <f ca="1">INDIRECT("'"&amp;コード表!$C$3&amp;"'!"&amp;コード表!$D82&amp;コード表!L$12)</f>
        <v>418687</v>
      </c>
      <c r="M148" s="38">
        <f ca="1">INDIRECT("'"&amp;コード表!$C$3&amp;"'!"&amp;コード表!$D82&amp;コード表!M$12)</f>
        <v>426510</v>
      </c>
      <c r="N148" s="38">
        <f ca="1">INDIRECT("'"&amp;コード表!$C$3&amp;"'!"&amp;コード表!$D82&amp;コード表!N$12)</f>
        <v>441146</v>
      </c>
      <c r="O148" s="38">
        <f ca="1">INDIRECT("'"&amp;コード表!$C$3&amp;"'!"&amp;コード表!$D82&amp;コード表!O$12)</f>
        <v>459420</v>
      </c>
    </row>
    <row r="149" spans="1:15" ht="16.5" customHeight="1">
      <c r="A149" s="18">
        <v>16</v>
      </c>
      <c r="B149" s="99" t="s">
        <v>66</v>
      </c>
      <c r="C149" s="36">
        <f ca="1">INDIRECT("'"&amp;コード表!$C$3&amp;"'!"&amp;コード表!$D83&amp;コード表!C$12)</f>
        <v>215220</v>
      </c>
      <c r="D149" s="38">
        <f ca="1">INDIRECT("'"&amp;コード表!$C$3&amp;"'!"&amp;コード表!$D83&amp;コード表!D$12)</f>
        <v>216348</v>
      </c>
      <c r="E149" s="38">
        <f ca="1">INDIRECT("'"&amp;コード表!$C$3&amp;"'!"&amp;コード表!$D83&amp;コード表!E$12)</f>
        <v>212453</v>
      </c>
      <c r="F149" s="38">
        <f ca="1">INDIRECT("'"&amp;コード表!$C$3&amp;"'!"&amp;コード表!$D83&amp;コード表!F$12)</f>
        <v>219871</v>
      </c>
      <c r="G149" s="38">
        <f ca="1">INDIRECT("'"&amp;コード表!$C$3&amp;"'!"&amp;コード表!$D83&amp;コード表!G$12)</f>
        <v>225682</v>
      </c>
      <c r="H149" s="38">
        <f ca="1">INDIRECT("'"&amp;コード表!$C$3&amp;"'!"&amp;コード表!$D83&amp;コード表!H$12)</f>
        <v>227388</v>
      </c>
      <c r="I149" s="38">
        <f ca="1">INDIRECT("'"&amp;コード表!$C$3&amp;"'!"&amp;コード表!$D83&amp;コード表!I$12)</f>
        <v>233926</v>
      </c>
      <c r="J149" s="38">
        <f ca="1">INDIRECT("'"&amp;コード表!$C$3&amp;"'!"&amp;コード表!$D83&amp;コード表!J$12)</f>
        <v>237622</v>
      </c>
      <c r="K149" s="38">
        <f ca="1">INDIRECT("'"&amp;コード表!$C$3&amp;"'!"&amp;コード表!$D83&amp;コード表!K$12)</f>
        <v>240022</v>
      </c>
      <c r="L149" s="38">
        <f ca="1">INDIRECT("'"&amp;コード表!$C$3&amp;"'!"&amp;コード表!$D83&amp;コード表!L$12)</f>
        <v>246676</v>
      </c>
      <c r="M149" s="38">
        <f ca="1">INDIRECT("'"&amp;コード表!$C$3&amp;"'!"&amp;コード表!$D83&amp;コード表!M$12)</f>
        <v>255224</v>
      </c>
      <c r="N149" s="38">
        <f ca="1">INDIRECT("'"&amp;コード表!$C$3&amp;"'!"&amp;コード表!$D83&amp;コード表!N$12)</f>
        <v>262149</v>
      </c>
      <c r="O149" s="38">
        <f ca="1">INDIRECT("'"&amp;コード表!$C$3&amp;"'!"&amp;コード表!$D83&amp;コード表!O$12)</f>
        <v>261094</v>
      </c>
    </row>
    <row r="150" spans="1:15" ht="16.5" customHeight="1">
      <c r="A150" s="18">
        <v>17</v>
      </c>
      <c r="B150" s="99" t="s">
        <v>67</v>
      </c>
      <c r="C150" s="36">
        <f ca="1">INDIRECT("'"&amp;コード表!$C$3&amp;"'!"&amp;コード表!$D84&amp;コード表!C$12)</f>
        <v>408636</v>
      </c>
      <c r="D150" s="38">
        <f ca="1">INDIRECT("'"&amp;コード表!$C$3&amp;"'!"&amp;コード表!$D84&amp;コード表!D$12)</f>
        <v>429365</v>
      </c>
      <c r="E150" s="38">
        <f ca="1">INDIRECT("'"&amp;コード表!$C$3&amp;"'!"&amp;コード表!$D84&amp;コード表!E$12)</f>
        <v>444631</v>
      </c>
      <c r="F150" s="38">
        <f ca="1">INDIRECT("'"&amp;コード表!$C$3&amp;"'!"&amp;コード表!$D84&amp;コード表!F$12)</f>
        <v>448443</v>
      </c>
      <c r="G150" s="38">
        <f ca="1">INDIRECT("'"&amp;コード表!$C$3&amp;"'!"&amp;コード表!$D84&amp;コード表!G$12)</f>
        <v>480663</v>
      </c>
      <c r="H150" s="38">
        <f ca="1">INDIRECT("'"&amp;コード表!$C$3&amp;"'!"&amp;コード表!$D84&amp;コード表!H$12)</f>
        <v>496878</v>
      </c>
      <c r="I150" s="38">
        <f ca="1">INDIRECT("'"&amp;コード表!$C$3&amp;"'!"&amp;コード表!$D84&amp;コード表!I$12)</f>
        <v>496888</v>
      </c>
      <c r="J150" s="38">
        <f ca="1">INDIRECT("'"&amp;コード表!$C$3&amp;"'!"&amp;コード表!$D84&amp;コード表!J$12)</f>
        <v>510035</v>
      </c>
      <c r="K150" s="38">
        <f ca="1">INDIRECT("'"&amp;コード表!$C$3&amp;"'!"&amp;コード表!$D84&amp;コード表!K$12)</f>
        <v>526646</v>
      </c>
      <c r="L150" s="38">
        <f ca="1">INDIRECT("'"&amp;コード表!$C$3&amp;"'!"&amp;コード表!$D84&amp;コード表!L$12)</f>
        <v>528999</v>
      </c>
      <c r="M150" s="38">
        <f ca="1">INDIRECT("'"&amp;コード表!$C$3&amp;"'!"&amp;コード表!$D84&amp;コード表!M$12)</f>
        <v>546375</v>
      </c>
      <c r="N150" s="38">
        <f ca="1">INDIRECT("'"&amp;コード表!$C$3&amp;"'!"&amp;コード表!$D84&amp;コード表!N$12)</f>
        <v>550301</v>
      </c>
      <c r="O150" s="38">
        <f ca="1">INDIRECT("'"&amp;コード表!$C$3&amp;"'!"&amp;コード表!$D84&amp;コード表!O$12)</f>
        <v>559111</v>
      </c>
    </row>
    <row r="151" spans="1:15" ht="16.5" customHeight="1">
      <c r="A151" s="18">
        <v>18</v>
      </c>
      <c r="B151" s="99" t="s">
        <v>68</v>
      </c>
      <c r="C151" s="37">
        <f ca="1">INDIRECT("'"&amp;コード表!$C$3&amp;"'!"&amp;コード表!$D85&amp;コード表!C$12)</f>
        <v>221834</v>
      </c>
      <c r="D151" s="39">
        <f ca="1">INDIRECT("'"&amp;コード表!$C$3&amp;"'!"&amp;コード表!$D85&amp;コード表!D$12)</f>
        <v>228432</v>
      </c>
      <c r="E151" s="39">
        <f ca="1">INDIRECT("'"&amp;コード表!$C$3&amp;"'!"&amp;コード表!$D85&amp;コード表!E$12)</f>
        <v>223995</v>
      </c>
      <c r="F151" s="39">
        <f ca="1">INDIRECT("'"&amp;コード表!$C$3&amp;"'!"&amp;コード表!$D85&amp;コード表!F$12)</f>
        <v>221913</v>
      </c>
      <c r="G151" s="39">
        <f ca="1">INDIRECT("'"&amp;コード表!$C$3&amp;"'!"&amp;コード表!$D85&amp;コード表!G$12)</f>
        <v>228909</v>
      </c>
      <c r="H151" s="39">
        <f ca="1">INDIRECT("'"&amp;コード表!$C$3&amp;"'!"&amp;コード表!$D85&amp;コード表!H$12)</f>
        <v>233638</v>
      </c>
      <c r="I151" s="39">
        <f ca="1">INDIRECT("'"&amp;コード表!$C$3&amp;"'!"&amp;コード表!$D85&amp;コード表!I$12)</f>
        <v>236458</v>
      </c>
      <c r="J151" s="39">
        <f ca="1">INDIRECT("'"&amp;コード表!$C$3&amp;"'!"&amp;コード表!$D85&amp;コード表!J$12)</f>
        <v>231249</v>
      </c>
      <c r="K151" s="39">
        <f ca="1">INDIRECT("'"&amp;コード表!$C$3&amp;"'!"&amp;コード表!$D85&amp;コード表!K$12)</f>
        <v>226436</v>
      </c>
      <c r="L151" s="39">
        <f ca="1">INDIRECT("'"&amp;コード表!$C$3&amp;"'!"&amp;コード表!$D85&amp;コード表!L$12)</f>
        <v>206127</v>
      </c>
      <c r="M151" s="39">
        <f ca="1">INDIRECT("'"&amp;コード表!$C$3&amp;"'!"&amp;コード表!$D85&amp;コード表!M$12)</f>
        <v>229202</v>
      </c>
      <c r="N151" s="39">
        <f ca="1">INDIRECT("'"&amp;コード表!$C$3&amp;"'!"&amp;コード表!$D85&amp;コード表!N$12)</f>
        <v>244018</v>
      </c>
      <c r="O151" s="39">
        <f ca="1">INDIRECT("'"&amp;コード表!$C$3&amp;"'!"&amp;コード表!$D85&amp;コード表!O$12)</f>
        <v>235553</v>
      </c>
    </row>
    <row r="152" spans="1:15" ht="16.5" customHeight="1">
      <c r="A152" s="33">
        <v>19</v>
      </c>
      <c r="B152" s="98" t="s">
        <v>70</v>
      </c>
      <c r="C152" s="40">
        <f ca="1">INDIRECT("'"&amp;コード表!$C$3&amp;"'!"&amp;コード表!$D86&amp;コード表!C$12)</f>
        <v>3759264</v>
      </c>
      <c r="D152" s="35">
        <f ca="1">INDIRECT("'"&amp;コード表!$C$3&amp;"'!"&amp;コード表!$D86&amp;コード表!D$12)</f>
        <v>3776623</v>
      </c>
      <c r="E152" s="35">
        <f ca="1">INDIRECT("'"&amp;コード表!$C$3&amp;"'!"&amp;コード表!$D86&amp;コード表!E$12)</f>
        <v>3911346</v>
      </c>
      <c r="F152" s="35">
        <f ca="1">INDIRECT("'"&amp;コード表!$C$3&amp;"'!"&amp;コード表!$D86&amp;コード表!F$12)</f>
        <v>3985521</v>
      </c>
      <c r="G152" s="35">
        <f ca="1">INDIRECT("'"&amp;コード表!$C$3&amp;"'!"&amp;コード表!$D86&amp;コード表!G$12)</f>
        <v>4198009</v>
      </c>
      <c r="H152" s="35">
        <f ca="1">INDIRECT("'"&amp;コード表!$C$3&amp;"'!"&amp;コード表!$D86&amp;コード表!H$12)</f>
        <v>4367472</v>
      </c>
      <c r="I152" s="35">
        <f ca="1">INDIRECT("'"&amp;コード表!$C$3&amp;"'!"&amp;コード表!$D86&amp;コード表!I$12)</f>
        <v>4450264</v>
      </c>
      <c r="J152" s="35">
        <f ca="1">INDIRECT("'"&amp;コード表!$C$3&amp;"'!"&amp;コード表!$D86&amp;コード表!J$12)</f>
        <v>4479201</v>
      </c>
      <c r="K152" s="35">
        <f ca="1">INDIRECT("'"&amp;コード表!$C$3&amp;"'!"&amp;コード表!$D86&amp;コード表!K$12)</f>
        <v>4512123</v>
      </c>
      <c r="L152" s="35">
        <f ca="1">INDIRECT("'"&amp;コード表!$C$3&amp;"'!"&amp;コード表!$D86&amp;コード表!L$12)</f>
        <v>4229871</v>
      </c>
      <c r="M152" s="35">
        <f ca="1">INDIRECT("'"&amp;コード表!$C$3&amp;"'!"&amp;コード表!$D86&amp;コード表!M$12)</f>
        <v>4427702</v>
      </c>
      <c r="N152" s="35">
        <f ca="1">INDIRECT("'"&amp;コード表!$C$3&amp;"'!"&amp;コード表!$D86&amp;コード表!N$12)</f>
        <v>4465727</v>
      </c>
      <c r="O152" s="35">
        <f ca="1">INDIRECT("'"&amp;コード表!$C$3&amp;"'!"&amp;コード表!$D86&amp;コード表!O$12)</f>
        <v>4675517</v>
      </c>
    </row>
    <row r="153" spans="1:15" ht="16.5" customHeight="1" thickBot="1">
      <c r="A153" s="60">
        <v>20</v>
      </c>
      <c r="B153" s="101" t="s">
        <v>100</v>
      </c>
      <c r="C153" s="102">
        <f ca="1">INDIRECT("'"&amp;コード表!$C$3&amp;"'!"&amp;コード表!$D87&amp;コード表!C$12)</f>
        <v>4019</v>
      </c>
      <c r="D153" s="103">
        <f ca="1">INDIRECT("'"&amp;コード表!$C$3&amp;"'!"&amp;コード表!$D87&amp;コード表!D$12)</f>
        <v>3812</v>
      </c>
      <c r="E153" s="103">
        <f ca="1">INDIRECT("'"&amp;コード表!$C$3&amp;"'!"&amp;コード表!$D87&amp;コード表!E$12)</f>
        <v>2078</v>
      </c>
      <c r="F153" s="103">
        <f ca="1">INDIRECT("'"&amp;コード表!$C$3&amp;"'!"&amp;コード表!$D87&amp;コード表!F$12)</f>
        <v>-3037</v>
      </c>
      <c r="G153" s="103">
        <f ca="1">INDIRECT("'"&amp;コード表!$C$3&amp;"'!"&amp;コード表!$D87&amp;コード表!G$12)</f>
        <v>-16635</v>
      </c>
      <c r="H153" s="103">
        <f ca="1">INDIRECT("'"&amp;コード表!$C$3&amp;"'!"&amp;コード表!$D87&amp;コード表!H$12)</f>
        <v>-23388</v>
      </c>
      <c r="I153" s="103">
        <f ca="1">INDIRECT("'"&amp;コード表!$C$3&amp;"'!"&amp;コード表!$D87&amp;コード表!I$12)</f>
        <v>-24672</v>
      </c>
      <c r="J153" s="103">
        <f ca="1">INDIRECT("'"&amp;コード表!$C$3&amp;"'!"&amp;コード表!$D87&amp;コード表!J$12)</f>
        <v>-25997</v>
      </c>
      <c r="K153" s="103">
        <f ca="1">INDIRECT("'"&amp;コード表!$C$3&amp;"'!"&amp;コード表!$D87&amp;コード表!K$12)</f>
        <v>-33131</v>
      </c>
      <c r="L153" s="103">
        <f ca="1">INDIRECT("'"&amp;コード表!$C$3&amp;"'!"&amp;コード表!$D87&amp;コード表!L$12)</f>
        <v>-28965</v>
      </c>
      <c r="M153" s="103">
        <f ca="1">INDIRECT("'"&amp;コード表!$C$3&amp;"'!"&amp;コード表!$D87&amp;コード表!M$12)</f>
        <v>-35603</v>
      </c>
      <c r="N153" s="103">
        <f ca="1">INDIRECT("'"&amp;コード表!$C$3&amp;"'!"&amp;コード表!$D87&amp;コード表!N$12)</f>
        <v>-30815</v>
      </c>
      <c r="O153" s="103">
        <f ca="1">INDIRECT("'"&amp;コード表!$C$3&amp;"'!"&amp;コード表!$D87&amp;コード表!O$12)</f>
        <v>-32557</v>
      </c>
    </row>
    <row r="154" spans="1:15" ht="16.5" customHeight="1" thickTop="1">
      <c r="A154" s="18">
        <v>21</v>
      </c>
      <c r="B154" s="99" t="s">
        <v>119</v>
      </c>
      <c r="C154" s="37">
        <f ca="1">INDIRECT("'"&amp;コード表!$C$3&amp;"'!"&amp;コード表!$D88&amp;コード表!C$12)</f>
        <v>3763283</v>
      </c>
      <c r="D154" s="39">
        <f ca="1">INDIRECT("'"&amp;コード表!$C$3&amp;"'!"&amp;コード表!$D88&amp;コード表!D$12)</f>
        <v>3780435</v>
      </c>
      <c r="E154" s="39">
        <f ca="1">INDIRECT("'"&amp;コード表!$C$3&amp;"'!"&amp;コード表!$D88&amp;コード表!E$12)</f>
        <v>3913424</v>
      </c>
      <c r="F154" s="39">
        <f ca="1">INDIRECT("'"&amp;コード表!$C$3&amp;"'!"&amp;コード表!$D88&amp;コード表!F$12)</f>
        <v>3982484</v>
      </c>
      <c r="G154" s="39">
        <f ca="1">INDIRECT("'"&amp;コード表!$C$3&amp;"'!"&amp;コード表!$D88&amp;コード表!G$12)</f>
        <v>4181374</v>
      </c>
      <c r="H154" s="39">
        <f ca="1">INDIRECT("'"&amp;コード表!$C$3&amp;"'!"&amp;コード表!$D88&amp;コード表!H$12)</f>
        <v>4344084</v>
      </c>
      <c r="I154" s="39">
        <f ca="1">INDIRECT("'"&amp;コード表!$C$3&amp;"'!"&amp;コード表!$D88&amp;コード表!I$12)</f>
        <v>4425592</v>
      </c>
      <c r="J154" s="39">
        <f ca="1">INDIRECT("'"&amp;コード表!$C$3&amp;"'!"&amp;コード表!$D88&amp;コード表!J$12)</f>
        <v>4453204</v>
      </c>
      <c r="K154" s="39">
        <f ca="1">INDIRECT("'"&amp;コード表!$C$3&amp;"'!"&amp;コード表!$D88&amp;コード表!K$12)</f>
        <v>4478992</v>
      </c>
      <c r="L154" s="39">
        <f ca="1">INDIRECT("'"&amp;コード表!$C$3&amp;"'!"&amp;コード表!$D88&amp;コード表!L$12)</f>
        <v>4200906</v>
      </c>
      <c r="M154" s="39">
        <f ca="1">INDIRECT("'"&amp;コード表!$C$3&amp;"'!"&amp;コード表!$D88&amp;コード表!M$12)</f>
        <v>4392099</v>
      </c>
      <c r="N154" s="39">
        <f ca="1">INDIRECT("'"&amp;コード表!$C$3&amp;"'!"&amp;コード表!$D88&amp;コード表!N$12)</f>
        <v>4434912</v>
      </c>
      <c r="O154" s="39">
        <f ca="1">INDIRECT("'"&amp;コード表!$C$3&amp;"'!"&amp;コード表!$D88&amp;コード表!O$12)</f>
        <v>4642960</v>
      </c>
    </row>
    <row r="155" spans="1:15" ht="16.5" customHeight="1">
      <c r="A155" s="115" t="s">
        <v>146</v>
      </c>
      <c r="B155" s="116" t="s">
        <v>72</v>
      </c>
      <c r="C155" s="36">
        <f ca="1">INDIRECT("'"&amp;コード表!$C$3&amp;"'!"&amp;コード表!$D89&amp;コード表!C$12)</f>
        <v>52690</v>
      </c>
      <c r="D155" s="38">
        <f ca="1">INDIRECT("'"&amp;コード表!$C$3&amp;"'!"&amp;コード表!$D89&amp;コード表!D$12)</f>
        <v>58889</v>
      </c>
      <c r="E155" s="38">
        <f ca="1">INDIRECT("'"&amp;コード表!$C$3&amp;"'!"&amp;コード表!$D89&amp;コード表!E$12)</f>
        <v>55480</v>
      </c>
      <c r="F155" s="38">
        <f ca="1">INDIRECT("'"&amp;コード表!$C$3&amp;"'!"&amp;コード表!$D89&amp;コード表!F$12)</f>
        <v>59949</v>
      </c>
      <c r="G155" s="38">
        <f ca="1">INDIRECT("'"&amp;コード表!$C$3&amp;"'!"&amp;コード表!$D89&amp;コード表!G$12)</f>
        <v>59639</v>
      </c>
      <c r="H155" s="38">
        <f ca="1">INDIRECT("'"&amp;コード表!$C$3&amp;"'!"&amp;コード表!$D89&amp;コード表!H$12)</f>
        <v>77682</v>
      </c>
      <c r="I155" s="38">
        <f ca="1">INDIRECT("'"&amp;コード表!$C$3&amp;"'!"&amp;コード表!$D89&amp;コード表!I$12)</f>
        <v>65068</v>
      </c>
      <c r="J155" s="38">
        <f ca="1">INDIRECT("'"&amp;コード表!$C$3&amp;"'!"&amp;コード表!$D89&amp;コード表!J$12)</f>
        <v>60673</v>
      </c>
      <c r="K155" s="38">
        <f ca="1">INDIRECT("'"&amp;コード表!$C$3&amp;"'!"&amp;コード表!$D89&amp;コード表!K$12)</f>
        <v>57847</v>
      </c>
      <c r="L155" s="38">
        <f ca="1">INDIRECT("'"&amp;コード表!$C$3&amp;"'!"&amp;コード表!$D89&amp;コード表!L$12)</f>
        <v>46654</v>
      </c>
      <c r="M155" s="38">
        <f ca="1">INDIRECT("'"&amp;コード表!$C$3&amp;"'!"&amp;コード表!$D89&amp;コード表!M$12)</f>
        <v>53671</v>
      </c>
      <c r="N155" s="38">
        <f ca="1">INDIRECT("'"&amp;コード表!$C$3&amp;"'!"&amp;コード表!$D89&amp;コード表!N$12)</f>
        <v>40647</v>
      </c>
      <c r="O155" s="38">
        <f ca="1">INDIRECT("'"&amp;コード表!$C$3&amp;"'!"&amp;コード表!$D89&amp;コード表!O$12)</f>
        <v>43976</v>
      </c>
    </row>
    <row r="156" spans="1:15" ht="16.5" customHeight="1">
      <c r="A156" s="118" t="s">
        <v>147</v>
      </c>
      <c r="B156" s="99" t="s">
        <v>73</v>
      </c>
      <c r="C156" s="36">
        <f ca="1">INDIRECT("'"&amp;コード表!$C$3&amp;"'!"&amp;コード表!$D90&amp;コード表!C$12)</f>
        <v>462725</v>
      </c>
      <c r="D156" s="38">
        <f ca="1">INDIRECT("'"&amp;コード表!$C$3&amp;"'!"&amp;コード表!$D90&amp;コード表!D$12)</f>
        <v>416600</v>
      </c>
      <c r="E156" s="38">
        <f ca="1">INDIRECT("'"&amp;コード表!$C$3&amp;"'!"&amp;コード表!$D90&amp;コード表!E$12)</f>
        <v>478779</v>
      </c>
      <c r="F156" s="38">
        <f ca="1">INDIRECT("'"&amp;コード表!$C$3&amp;"'!"&amp;コード表!$D90&amp;コード表!F$12)</f>
        <v>502654</v>
      </c>
      <c r="G156" s="38">
        <f ca="1">INDIRECT("'"&amp;コード表!$C$3&amp;"'!"&amp;コード表!$D90&amp;コード表!G$12)</f>
        <v>577381</v>
      </c>
      <c r="H156" s="38">
        <f ca="1">INDIRECT("'"&amp;コード表!$C$3&amp;"'!"&amp;コード表!$D90&amp;コード表!H$12)</f>
        <v>608530</v>
      </c>
      <c r="I156" s="38">
        <f ca="1">INDIRECT("'"&amp;コード表!$C$3&amp;"'!"&amp;コード表!$D90&amp;コード表!I$12)</f>
        <v>646505</v>
      </c>
      <c r="J156" s="38">
        <f ca="1">INDIRECT("'"&amp;コード表!$C$3&amp;"'!"&amp;コード表!$D90&amp;コード表!J$12)</f>
        <v>658265</v>
      </c>
      <c r="K156" s="38">
        <f ca="1">INDIRECT("'"&amp;コード表!$C$3&amp;"'!"&amp;コード表!$D90&amp;コード表!K$12)</f>
        <v>669964</v>
      </c>
      <c r="L156" s="38">
        <f ca="1">INDIRECT("'"&amp;コード表!$C$3&amp;"'!"&amp;コード表!$D90&amp;コード表!L$12)</f>
        <v>603739</v>
      </c>
      <c r="M156" s="38">
        <f ca="1">INDIRECT("'"&amp;コード表!$C$3&amp;"'!"&amp;コード表!$D90&amp;コード表!M$12)</f>
        <v>659714</v>
      </c>
      <c r="N156" s="38">
        <f ca="1">INDIRECT("'"&amp;コード表!$C$3&amp;"'!"&amp;コード表!$D90&amp;コード表!N$12)</f>
        <v>578991</v>
      </c>
      <c r="O156" s="38">
        <f ca="1">INDIRECT("'"&amp;コード表!$C$3&amp;"'!"&amp;コード表!$D90&amp;コード表!O$12)</f>
        <v>590921</v>
      </c>
    </row>
    <row r="157" spans="1:15" ht="16.5" customHeight="1">
      <c r="A157" s="119" t="s">
        <v>148</v>
      </c>
      <c r="B157" s="100" t="s">
        <v>74</v>
      </c>
      <c r="C157" s="37">
        <f ca="1">INDIRECT("'"&amp;コード表!$C$3&amp;"'!"&amp;コード表!$D91&amp;コード表!C$12)</f>
        <v>3243849</v>
      </c>
      <c r="D157" s="39">
        <f ca="1">INDIRECT("'"&amp;コード表!$C$3&amp;"'!"&amp;コード表!$D91&amp;コード表!D$12)</f>
        <v>3301134</v>
      </c>
      <c r="E157" s="39">
        <f ca="1">INDIRECT("'"&amp;コード表!$C$3&amp;"'!"&amp;コード表!$D91&amp;コード表!E$12)</f>
        <v>3377087</v>
      </c>
      <c r="F157" s="39">
        <f ca="1">INDIRECT("'"&amp;コード表!$C$3&amp;"'!"&amp;コード表!$D91&amp;コード表!F$12)</f>
        <v>3422918</v>
      </c>
      <c r="G157" s="39">
        <f ca="1">INDIRECT("'"&amp;コード表!$C$3&amp;"'!"&amp;コード表!$D91&amp;コード表!G$12)</f>
        <v>3560989</v>
      </c>
      <c r="H157" s="39">
        <f ca="1">INDIRECT("'"&amp;コード表!$C$3&amp;"'!"&amp;コード表!$D91&amp;コード表!H$12)</f>
        <v>3681260</v>
      </c>
      <c r="I157" s="39">
        <f ca="1">INDIRECT("'"&amp;コード表!$C$3&amp;"'!"&amp;コード表!$D91&amp;コード表!I$12)</f>
        <v>3738691</v>
      </c>
      <c r="J157" s="39">
        <f ca="1">INDIRECT("'"&amp;コード表!$C$3&amp;"'!"&amp;コード表!$D91&amp;コード表!J$12)</f>
        <v>3760263</v>
      </c>
      <c r="K157" s="39">
        <f ca="1">INDIRECT("'"&amp;コード表!$C$3&amp;"'!"&amp;コード表!$D91&amp;コード表!K$12)</f>
        <v>3784312</v>
      </c>
      <c r="L157" s="39">
        <f ca="1">INDIRECT("'"&amp;コード表!$C$3&amp;"'!"&amp;コード表!$D91&amp;コード表!L$12)</f>
        <v>3579478</v>
      </c>
      <c r="M157" s="39">
        <f ca="1">INDIRECT("'"&amp;コード表!$C$3&amp;"'!"&amp;コード表!$D91&amp;コード表!M$12)</f>
        <v>3714317</v>
      </c>
      <c r="N157" s="39">
        <f ca="1">INDIRECT("'"&amp;コード表!$C$3&amp;"'!"&amp;コード表!$D91&amp;コード表!N$12)</f>
        <v>3846089</v>
      </c>
      <c r="O157" s="39">
        <f ca="1">INDIRECT("'"&amp;コード表!$C$3&amp;"'!"&amp;コード表!$D91&amp;コード表!O$12)</f>
        <v>4040620</v>
      </c>
    </row>
    <row r="158" spans="1:15" ht="16.5" customHeight="1">
      <c r="A158" s="115"/>
      <c r="B158" s="276" t="s">
        <v>279</v>
      </c>
      <c r="C158" s="48">
        <f ca="1">INDIRECT("'"&amp;コード表!$C$3&amp;"'!"&amp;コード表!$D92&amp;コード表!C$12)</f>
        <v>5911</v>
      </c>
      <c r="D158" s="48">
        <f ca="1">INDIRECT("'"&amp;コード表!$C$3&amp;"'!"&amp;コード表!$D92&amp;コード表!D$12)</f>
        <v>5815</v>
      </c>
      <c r="E158" s="48">
        <f ca="1">INDIRECT("'"&amp;コード表!$C$3&amp;"'!"&amp;コード表!$D92&amp;コード表!E$12)</f>
        <v>5955</v>
      </c>
      <c r="F158" s="48">
        <f ca="1">INDIRECT("'"&amp;コード表!$C$3&amp;"'!"&amp;コード表!$D92&amp;コード表!F$12)</f>
        <v>5930</v>
      </c>
      <c r="G158" s="48">
        <f ca="1">INDIRECT("'"&amp;コード表!$C$3&amp;"'!"&amp;コード表!$D92&amp;コード表!G$12)</f>
        <v>6126</v>
      </c>
      <c r="H158" s="48">
        <f ca="1">INDIRECT("'"&amp;コード表!$C$3&amp;"'!"&amp;コード表!$D92&amp;コード表!H$12)</f>
        <v>6191</v>
      </c>
      <c r="I158" s="48">
        <f ca="1">INDIRECT("'"&amp;コード表!$C$3&amp;"'!"&amp;コード表!$D92&amp;コード表!I$12)</f>
        <v>6227</v>
      </c>
      <c r="J158" s="48">
        <f ca="1">INDIRECT("'"&amp;コード表!$C$3&amp;"'!"&amp;コード表!$D92&amp;コード表!J$12)</f>
        <v>6186</v>
      </c>
      <c r="K158" s="48">
        <f ca="1">INDIRECT("'"&amp;コード表!$C$3&amp;"'!"&amp;コード表!$D92&amp;コード表!K$12)</f>
        <v>6053</v>
      </c>
      <c r="L158" s="48">
        <f ca="1">INDIRECT("'"&amp;コード表!$C$3&amp;"'!"&amp;コード表!$D92&amp;コード表!L$12)</f>
        <v>5733</v>
      </c>
      <c r="M158" s="48">
        <f ca="1">INDIRECT("'"&amp;コード表!$C$3&amp;"'!"&amp;コード表!$D92&amp;コード表!M$12)</f>
        <v>5911</v>
      </c>
      <c r="N158" s="48">
        <f ca="1">INDIRECT("'"&amp;コード表!$C$3&amp;"'!"&amp;コード表!$D92&amp;コード表!N$12)</f>
        <v>5985</v>
      </c>
      <c r="O158" s="48">
        <f ca="1">INDIRECT("'"&amp;コード表!$C$3&amp;"'!"&amp;コード表!$D92&amp;コード表!O$12)</f>
        <v>6138</v>
      </c>
    </row>
    <row r="159" spans="1:15" ht="16.5" customHeight="1">
      <c r="A159" s="119"/>
      <c r="B159" s="277" t="s">
        <v>280</v>
      </c>
      <c r="C159" s="39">
        <f ca="1">INDIRECT("'"&amp;コード表!$C$3&amp;"'!"&amp;コード表!$D93&amp;コード表!C$12)</f>
        <v>3866896</v>
      </c>
      <c r="D159" s="39">
        <f ca="1">INDIRECT("'"&amp;コード表!$C$3&amp;"'!"&amp;コード表!$D93&amp;コード表!D$12)</f>
        <v>3897784</v>
      </c>
      <c r="E159" s="39">
        <f ca="1">INDIRECT("'"&amp;コード表!$C$3&amp;"'!"&amp;コード表!$D93&amp;コード表!E$12)</f>
        <v>4059749</v>
      </c>
      <c r="F159" s="39">
        <f ca="1">INDIRECT("'"&amp;コード表!$C$3&amp;"'!"&amp;コード表!$D93&amp;コード表!F$12)</f>
        <v>4035189</v>
      </c>
      <c r="G159" s="39">
        <f ca="1">INDIRECT("'"&amp;コード表!$C$3&amp;"'!"&amp;コード表!$D93&amp;コード表!G$12)</f>
        <v>4188161</v>
      </c>
      <c r="H159" s="39">
        <f ca="1">INDIRECT("'"&amp;コード表!$C$3&amp;"'!"&amp;コード表!$D93&amp;コード表!H$12)</f>
        <v>4304811</v>
      </c>
      <c r="I159" s="39">
        <f ca="1">INDIRECT("'"&amp;コード表!$C$3&amp;"'!"&amp;コード表!$D93&amp;コード表!I$12)</f>
        <v>4378017</v>
      </c>
      <c r="J159" s="39">
        <f ca="1">INDIRECT("'"&amp;コード表!$C$3&amp;"'!"&amp;コード表!$D93&amp;コード表!J$12)</f>
        <v>4385801</v>
      </c>
      <c r="K159" s="39">
        <f ca="1">INDIRECT("'"&amp;コード表!$C$3&amp;"'!"&amp;コード表!$D93&amp;コード表!K$12)</f>
        <v>4375445</v>
      </c>
      <c r="L159" s="39">
        <f ca="1">INDIRECT("'"&amp;コード表!$C$3&amp;"'!"&amp;コード表!$D93&amp;コード表!L$12)</f>
        <v>4082088</v>
      </c>
      <c r="M159" s="39">
        <f ca="1">INDIRECT("'"&amp;コード表!$C$3&amp;"'!"&amp;コード表!$D93&amp;コード表!M$12)</f>
        <v>4250848</v>
      </c>
      <c r="N159" s="39">
        <f ca="1">INDIRECT("'"&amp;コード表!$C$3&amp;"'!"&amp;コード表!$D93&amp;コード表!N$12)</f>
        <v>4315378</v>
      </c>
      <c r="O159" s="39">
        <f ca="1">INDIRECT("'"&amp;コード表!$C$3&amp;"'!"&amp;コード表!$D93&amp;コード表!O$12)</f>
        <v>4424636</v>
      </c>
    </row>
    <row r="160" spans="1:15" ht="16.5" customHeight="1">
      <c r="A160" s="228"/>
      <c r="B160" s="229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</row>
    <row r="161" spans="1:30" ht="16.5" customHeight="1">
      <c r="A161" s="241" t="s">
        <v>266</v>
      </c>
      <c r="B161" s="229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</row>
    <row r="162" spans="1:30" ht="16.5" customHeight="1">
      <c r="A162" s="115"/>
      <c r="B162" s="116"/>
      <c r="C162" s="27">
        <f>C$4</f>
        <v>23</v>
      </c>
      <c r="D162" s="27">
        <f t="shared" ref="D162:O162" si="126">D$4</f>
        <v>24</v>
      </c>
      <c r="E162" s="27">
        <f t="shared" si="126"/>
        <v>25</v>
      </c>
      <c r="F162" s="27">
        <f t="shared" si="126"/>
        <v>26</v>
      </c>
      <c r="G162" s="27">
        <f t="shared" si="126"/>
        <v>27</v>
      </c>
      <c r="H162" s="27">
        <f t="shared" si="126"/>
        <v>28</v>
      </c>
      <c r="I162" s="27">
        <f t="shared" si="126"/>
        <v>29</v>
      </c>
      <c r="J162" s="27">
        <f t="shared" si="126"/>
        <v>30</v>
      </c>
      <c r="K162" s="27">
        <f t="shared" si="126"/>
        <v>1</v>
      </c>
      <c r="L162" s="27">
        <f t="shared" si="126"/>
        <v>2</v>
      </c>
      <c r="M162" s="27">
        <f t="shared" si="126"/>
        <v>3</v>
      </c>
      <c r="N162" s="27">
        <f t="shared" si="126"/>
        <v>4</v>
      </c>
      <c r="O162" s="27">
        <f t="shared" si="126"/>
        <v>5</v>
      </c>
    </row>
    <row r="163" spans="1:30" ht="16.5" customHeight="1">
      <c r="A163" s="232"/>
      <c r="B163" s="100"/>
      <c r="C163" s="28">
        <f>C$5</f>
        <v>2011</v>
      </c>
      <c r="D163" s="28">
        <f t="shared" ref="D163:O163" si="127">D$5</f>
        <v>2012</v>
      </c>
      <c r="E163" s="28">
        <f t="shared" si="127"/>
        <v>2013</v>
      </c>
      <c r="F163" s="28">
        <f t="shared" si="127"/>
        <v>2014</v>
      </c>
      <c r="G163" s="28">
        <f t="shared" si="127"/>
        <v>2015</v>
      </c>
      <c r="H163" s="28">
        <f t="shared" si="127"/>
        <v>2016</v>
      </c>
      <c r="I163" s="28">
        <f t="shared" si="127"/>
        <v>2017</v>
      </c>
      <c r="J163" s="28">
        <f t="shared" si="127"/>
        <v>2018</v>
      </c>
      <c r="K163" s="28">
        <f t="shared" si="127"/>
        <v>2019</v>
      </c>
      <c r="L163" s="28">
        <f t="shared" si="127"/>
        <v>2020</v>
      </c>
      <c r="M163" s="28">
        <f t="shared" si="127"/>
        <v>2021</v>
      </c>
      <c r="N163" s="28">
        <f t="shared" si="127"/>
        <v>2022</v>
      </c>
      <c r="O163" s="28">
        <f t="shared" si="127"/>
        <v>2023</v>
      </c>
    </row>
    <row r="164" spans="1:30" ht="16.5" customHeight="1" thickBot="1">
      <c r="A164" s="233"/>
      <c r="B164" s="234" t="s">
        <v>261</v>
      </c>
      <c r="C164" s="236">
        <v>2</v>
      </c>
      <c r="D164" s="235">
        <f>C164+1</f>
        <v>3</v>
      </c>
      <c r="E164" s="235">
        <f t="shared" ref="E164:K164" si="128">D164+1</f>
        <v>4</v>
      </c>
      <c r="F164" s="235">
        <f t="shared" si="128"/>
        <v>5</v>
      </c>
      <c r="G164" s="235">
        <f t="shared" si="128"/>
        <v>6</v>
      </c>
      <c r="H164" s="235">
        <f t="shared" si="128"/>
        <v>7</v>
      </c>
      <c r="I164" s="235">
        <f t="shared" si="128"/>
        <v>8</v>
      </c>
      <c r="J164" s="235">
        <f t="shared" si="128"/>
        <v>9</v>
      </c>
      <c r="K164" s="235">
        <f t="shared" si="128"/>
        <v>10</v>
      </c>
      <c r="L164" s="235">
        <f t="shared" ref="L164" si="129">K164+1</f>
        <v>11</v>
      </c>
      <c r="M164" s="235">
        <f t="shared" ref="M164" si="130">L164+1</f>
        <v>12</v>
      </c>
      <c r="N164" s="235">
        <f t="shared" ref="N164" si="131">M164+1</f>
        <v>13</v>
      </c>
      <c r="O164" s="235">
        <f t="shared" ref="O164" si="132">N164+1</f>
        <v>14</v>
      </c>
    </row>
    <row r="165" spans="1:30" ht="16.5" customHeight="1" thickTop="1">
      <c r="A165" s="231"/>
      <c r="B165" s="99" t="s">
        <v>260</v>
      </c>
      <c r="C165" s="37">
        <f ca="1">INDIRECT("'"&amp;コード表!$C$3&amp;"'!"&amp;コード表!$D88&amp;コード表!C$12)</f>
        <v>3763283</v>
      </c>
      <c r="D165" s="39">
        <f ca="1">INDIRECT("'"&amp;コード表!$C$3&amp;"'!"&amp;コード表!$D88&amp;コード表!D$12)</f>
        <v>3780435</v>
      </c>
      <c r="E165" s="39">
        <f ca="1">INDIRECT("'"&amp;コード表!$C$3&amp;"'!"&amp;コード表!$D88&amp;コード表!E$12)</f>
        <v>3913424</v>
      </c>
      <c r="F165" s="39">
        <f ca="1">INDIRECT("'"&amp;コード表!$C$3&amp;"'!"&amp;コード表!$D88&amp;コード表!F$12)</f>
        <v>3982484</v>
      </c>
      <c r="G165" s="39">
        <f ca="1">INDIRECT("'"&amp;コード表!$C$3&amp;"'!"&amp;コード表!$D88&amp;コード表!G$12)</f>
        <v>4181374</v>
      </c>
      <c r="H165" s="39">
        <f ca="1">INDIRECT("'"&amp;コード表!$C$3&amp;"'!"&amp;コード表!$D88&amp;コード表!H$12)</f>
        <v>4344084</v>
      </c>
      <c r="I165" s="39">
        <f ca="1">INDIRECT("'"&amp;コード表!$C$3&amp;"'!"&amp;コード表!$D88&amp;コード表!I$12)</f>
        <v>4425592</v>
      </c>
      <c r="J165" s="39">
        <f ca="1">INDIRECT("'"&amp;コード表!$C$3&amp;"'!"&amp;コード表!$D88&amp;コード表!J$12)</f>
        <v>4453204</v>
      </c>
      <c r="K165" s="39">
        <f ca="1">INDIRECT("'"&amp;コード表!$C$3&amp;"'!"&amp;コード表!$D88&amp;コード表!K$12)</f>
        <v>4478992</v>
      </c>
      <c r="L165" s="39">
        <f ca="1">INDIRECT("'"&amp;コード表!$C$3&amp;"'!"&amp;コード表!$D88&amp;コード表!L$12)</f>
        <v>4200906</v>
      </c>
      <c r="M165" s="39">
        <f ca="1">INDIRECT("'"&amp;コード表!$C$3&amp;"'!"&amp;コード表!$D88&amp;コード表!M$12)</f>
        <v>4392099</v>
      </c>
      <c r="N165" s="39">
        <f ca="1">INDIRECT("'"&amp;コード表!$C$3&amp;"'!"&amp;コード表!$D88&amp;コード表!N$12)</f>
        <v>4434912</v>
      </c>
      <c r="O165" s="39">
        <f ca="1">INDIRECT("'"&amp;コード表!$C$3&amp;"'!"&amp;コード表!$D88&amp;コード表!O$12)</f>
        <v>4642960</v>
      </c>
      <c r="P165" s="3"/>
    </row>
    <row r="166" spans="1:30" ht="16.5" customHeight="1">
      <c r="A166" s="230" t="s">
        <v>259</v>
      </c>
      <c r="B166" s="116" t="s">
        <v>139</v>
      </c>
      <c r="C166" s="117">
        <f ca="1">INDIRECT("'"&amp;コード表!$C$3&amp;"'!"&amp;コード表!$D88&amp;コード表!C$54)</f>
        <v>348633</v>
      </c>
      <c r="D166" s="48">
        <f ca="1">INDIRECT("'"&amp;コード表!$C$3&amp;"'!"&amp;コード表!$D88&amp;コード表!D$54)</f>
        <v>349061</v>
      </c>
      <c r="E166" s="48">
        <f ca="1">INDIRECT("'"&amp;コード表!$C$3&amp;"'!"&amp;コード表!$D88&amp;コード表!E$54)</f>
        <v>365825</v>
      </c>
      <c r="F166" s="48">
        <f ca="1">INDIRECT("'"&amp;コード表!$C$3&amp;"'!"&amp;コード表!$D88&amp;コード表!F$54)</f>
        <v>370520</v>
      </c>
      <c r="G166" s="48">
        <f ca="1">INDIRECT("'"&amp;コード表!$C$3&amp;"'!"&amp;コード表!$D88&amp;コード表!G$54)</f>
        <v>384715</v>
      </c>
      <c r="H166" s="48">
        <f ca="1">INDIRECT("'"&amp;コード表!$C$3&amp;"'!"&amp;コード表!$D88&amp;コード表!H$54)</f>
        <v>393472</v>
      </c>
      <c r="I166" s="48">
        <f ca="1">INDIRECT("'"&amp;コード表!$C$3&amp;"'!"&amp;コード表!$D88&amp;コード表!I$54)</f>
        <v>414226</v>
      </c>
      <c r="J166" s="48">
        <f ca="1">INDIRECT("'"&amp;コード表!$C$3&amp;"'!"&amp;コード表!$D88&amp;コード表!J$54)</f>
        <v>417222</v>
      </c>
      <c r="K166" s="48">
        <f ca="1">INDIRECT("'"&amp;コード表!$C$3&amp;"'!"&amp;コード表!$D88&amp;コード表!K$54)</f>
        <v>425977</v>
      </c>
      <c r="L166" s="48">
        <f ca="1">INDIRECT("'"&amp;コード表!$C$3&amp;"'!"&amp;コード表!$D88&amp;コード表!L$54)</f>
        <v>387224</v>
      </c>
      <c r="M166" s="48">
        <f ca="1">INDIRECT("'"&amp;コード表!$C$3&amp;"'!"&amp;コード表!$D88&amp;コード表!M$54)</f>
        <v>401307</v>
      </c>
      <c r="N166" s="48">
        <f ca="1">INDIRECT("'"&amp;コード表!$C$3&amp;"'!"&amp;コード表!$D88&amp;コード表!N$54)</f>
        <v>412041</v>
      </c>
      <c r="O166" s="48">
        <f ca="1">INDIRECT("'"&amp;コード表!$C$3&amp;"'!"&amp;コード表!$D88&amp;コード表!O$54)</f>
        <v>430087</v>
      </c>
      <c r="P166" s="106"/>
    </row>
    <row r="167" spans="1:30" ht="16.5" customHeight="1">
      <c r="A167" s="231" t="s">
        <v>147</v>
      </c>
      <c r="B167" s="99" t="s">
        <v>140</v>
      </c>
      <c r="C167" s="36">
        <f ca="1">INDIRECT("'"&amp;コード表!$C$3&amp;"'!"&amp;コード表!$D88&amp;コード表!C$55)</f>
        <v>1365716</v>
      </c>
      <c r="D167" s="38">
        <f ca="1">INDIRECT("'"&amp;コード表!$C$3&amp;"'!"&amp;コード表!$D88&amp;コード表!D$55)</f>
        <v>1386129</v>
      </c>
      <c r="E167" s="38">
        <f ca="1">INDIRECT("'"&amp;コード表!$C$3&amp;"'!"&amp;コード表!$D88&amp;コード表!E$55)</f>
        <v>1435172</v>
      </c>
      <c r="F167" s="38">
        <f ca="1">INDIRECT("'"&amp;コード表!$C$3&amp;"'!"&amp;コード表!$D88&amp;コード表!F$55)</f>
        <v>1453740</v>
      </c>
      <c r="G167" s="38">
        <f ca="1">INDIRECT("'"&amp;コード表!$C$3&amp;"'!"&amp;コード表!$D88&amp;コード表!G$55)</f>
        <v>1548105</v>
      </c>
      <c r="H167" s="38">
        <f ca="1">INDIRECT("'"&amp;コード表!$C$3&amp;"'!"&amp;コード表!$D88&amp;コード表!H$55)</f>
        <v>1597450</v>
      </c>
      <c r="I167" s="38">
        <f ca="1">INDIRECT("'"&amp;コード表!$C$3&amp;"'!"&amp;コード表!$D88&amp;コード表!I$55)</f>
        <v>1631075</v>
      </c>
      <c r="J167" s="38">
        <f ca="1">INDIRECT("'"&amp;コード表!$C$3&amp;"'!"&amp;コード表!$D88&amp;コード表!J$55)</f>
        <v>1641165</v>
      </c>
      <c r="K167" s="38">
        <f ca="1">INDIRECT("'"&amp;コード表!$C$3&amp;"'!"&amp;コード表!$D88&amp;コード表!K$55)</f>
        <v>1647176</v>
      </c>
      <c r="L167" s="38">
        <f ca="1">INDIRECT("'"&amp;コード表!$C$3&amp;"'!"&amp;コード表!$D88&amp;コード表!L$55)</f>
        <v>1600570</v>
      </c>
      <c r="M167" s="38">
        <f ca="1">INDIRECT("'"&amp;コード表!$C$3&amp;"'!"&amp;コード表!$D88&amp;コード表!M$55)</f>
        <v>1646804</v>
      </c>
      <c r="N167" s="38">
        <f ca="1">INDIRECT("'"&amp;コード表!$C$3&amp;"'!"&amp;コード表!$D88&amp;コード表!N$55)</f>
        <v>1647668</v>
      </c>
      <c r="O167" s="38">
        <f ca="1">INDIRECT("'"&amp;コード表!$C$3&amp;"'!"&amp;コード表!$D88&amp;コード表!O$55)</f>
        <v>1705440</v>
      </c>
      <c r="P167" s="2"/>
      <c r="R167" s="69" t="s">
        <v>252</v>
      </c>
    </row>
    <row r="168" spans="1:30" ht="16.5" customHeight="1">
      <c r="A168" s="231" t="s">
        <v>148</v>
      </c>
      <c r="B168" s="99" t="s">
        <v>141</v>
      </c>
      <c r="C168" s="36">
        <f ca="1">INDIRECT("'"&amp;コード表!$C$3&amp;"'!"&amp;コード表!$D88&amp;コード表!C$56)</f>
        <v>502623</v>
      </c>
      <c r="D168" s="38">
        <f ca="1">INDIRECT("'"&amp;コード表!$C$3&amp;"'!"&amp;コード表!$D88&amp;コード表!D$56)</f>
        <v>509365</v>
      </c>
      <c r="E168" s="38">
        <f ca="1">INDIRECT("'"&amp;コード表!$C$3&amp;"'!"&amp;コード表!$D88&amp;コード表!E$56)</f>
        <v>534552</v>
      </c>
      <c r="F168" s="38">
        <f ca="1">INDIRECT("'"&amp;コード表!$C$3&amp;"'!"&amp;コード表!$D88&amp;コード表!F$56)</f>
        <v>540166</v>
      </c>
      <c r="G168" s="38">
        <f ca="1">INDIRECT("'"&amp;コード表!$C$3&amp;"'!"&amp;コード表!$D88&amp;コード表!G$56)</f>
        <v>575747</v>
      </c>
      <c r="H168" s="38">
        <f ca="1">INDIRECT("'"&amp;コード表!$C$3&amp;"'!"&amp;コード表!$D88&amp;コード表!H$56)</f>
        <v>605822</v>
      </c>
      <c r="I168" s="38">
        <f ca="1">INDIRECT("'"&amp;コード表!$C$3&amp;"'!"&amp;コード表!$D88&amp;コード表!I$56)</f>
        <v>609524</v>
      </c>
      <c r="J168" s="38">
        <f ca="1">INDIRECT("'"&amp;コード表!$C$3&amp;"'!"&amp;コード表!$D88&amp;コード表!J$56)</f>
        <v>615991</v>
      </c>
      <c r="K168" s="38">
        <f ca="1">INDIRECT("'"&amp;コード表!$C$3&amp;"'!"&amp;コード表!$D88&amp;コード表!K$56)</f>
        <v>625780</v>
      </c>
      <c r="L168" s="38">
        <f ca="1">INDIRECT("'"&amp;コード表!$C$3&amp;"'!"&amp;コード表!$D88&amp;コード表!L$56)</f>
        <v>602216</v>
      </c>
      <c r="M168" s="38">
        <f ca="1">INDIRECT("'"&amp;コード表!$C$3&amp;"'!"&amp;コード表!$D88&amp;コード表!M$56)</f>
        <v>623818</v>
      </c>
      <c r="N168" s="38">
        <f ca="1">INDIRECT("'"&amp;コード表!$C$3&amp;"'!"&amp;コード表!$D88&amp;コード表!N$56)</f>
        <v>631119</v>
      </c>
      <c r="O168" s="38">
        <f ca="1">INDIRECT("'"&amp;コード表!$C$3&amp;"'!"&amp;コード表!$D88&amp;コード表!O$56)</f>
        <v>662839</v>
      </c>
      <c r="P168" s="167"/>
      <c r="R168" s="192" t="str">
        <f>"("&amp;地域分析!$E$2&amp;")"</f>
        <v>(令和５年度)</v>
      </c>
    </row>
    <row r="169" spans="1:30" ht="16.5" customHeight="1" thickBot="1">
      <c r="A169" s="231" t="s">
        <v>149</v>
      </c>
      <c r="B169" s="99" t="s">
        <v>142</v>
      </c>
      <c r="C169" s="36">
        <f ca="1">INDIRECT("'"&amp;コード表!$C$3&amp;"'!"&amp;コード表!$D88&amp;コード表!C$57)</f>
        <v>1236244</v>
      </c>
      <c r="D169" s="38">
        <f ca="1">INDIRECT("'"&amp;コード表!$C$3&amp;"'!"&amp;コード表!$D88&amp;コード表!D$57)</f>
        <v>1226540</v>
      </c>
      <c r="E169" s="38">
        <f ca="1">INDIRECT("'"&amp;コード表!$C$3&amp;"'!"&amp;コード表!$D88&amp;コード表!E$57)</f>
        <v>1251884</v>
      </c>
      <c r="F169" s="38">
        <f ca="1">INDIRECT("'"&amp;コード表!$C$3&amp;"'!"&amp;コード表!$D88&amp;コード表!F$57)</f>
        <v>1285401</v>
      </c>
      <c r="G169" s="38">
        <f ca="1">INDIRECT("'"&amp;コード表!$C$3&amp;"'!"&amp;コード表!$D88&amp;コード表!G$57)</f>
        <v>1330377</v>
      </c>
      <c r="H169" s="38">
        <f ca="1">INDIRECT("'"&amp;コード表!$C$3&amp;"'!"&amp;コード表!$D88&amp;コード表!H$57)</f>
        <v>1384469</v>
      </c>
      <c r="I169" s="38">
        <f ca="1">INDIRECT("'"&amp;コード表!$C$3&amp;"'!"&amp;コード表!$D88&amp;コード表!I$57)</f>
        <v>1396408</v>
      </c>
      <c r="J169" s="38">
        <f ca="1">INDIRECT("'"&amp;コード表!$C$3&amp;"'!"&amp;コード表!$D88&amp;コード表!J$57)</f>
        <v>1398303</v>
      </c>
      <c r="K169" s="38">
        <f ca="1">INDIRECT("'"&amp;コード表!$C$3&amp;"'!"&amp;コード表!$D88&amp;コード表!K$57)</f>
        <v>1387401</v>
      </c>
      <c r="L169" s="38">
        <f ca="1">INDIRECT("'"&amp;コード表!$C$3&amp;"'!"&amp;コード表!$D88&amp;コード表!L$57)</f>
        <v>1255961</v>
      </c>
      <c r="M169" s="38">
        <f ca="1">INDIRECT("'"&amp;コード表!$C$3&amp;"'!"&amp;コード表!$D88&amp;コード表!M$57)</f>
        <v>1329447</v>
      </c>
      <c r="N169" s="38">
        <f ca="1">INDIRECT("'"&amp;コード表!$C$3&amp;"'!"&amp;コード表!$D88&amp;コード表!N$57)</f>
        <v>1375907</v>
      </c>
      <c r="O169" s="38">
        <f ca="1">INDIRECT("'"&amp;コード表!$C$3&amp;"'!"&amp;コード表!$D88&amp;コード表!O$57)</f>
        <v>1447620</v>
      </c>
      <c r="P169" s="168"/>
      <c r="R169" s="222"/>
      <c r="S169" s="221" t="s">
        <v>253</v>
      </c>
      <c r="T169" s="221" t="s">
        <v>254</v>
      </c>
      <c r="V169" s="221" t="s">
        <v>255</v>
      </c>
      <c r="W169" s="221" t="s">
        <v>256</v>
      </c>
      <c r="Y169" s="88" t="s">
        <v>121</v>
      </c>
    </row>
    <row r="170" spans="1:30" ht="16.5" customHeight="1">
      <c r="A170" s="231" t="s">
        <v>150</v>
      </c>
      <c r="B170" s="99" t="s">
        <v>143</v>
      </c>
      <c r="C170" s="36">
        <f ca="1">INDIRECT("'"&amp;コード表!$C$3&amp;"'!"&amp;コード表!$D88&amp;コード表!C$58)</f>
        <v>150034</v>
      </c>
      <c r="D170" s="38">
        <f ca="1">INDIRECT("'"&amp;コード表!$C$3&amp;"'!"&amp;コード表!$D88&amp;コード表!D$58)</f>
        <v>152460</v>
      </c>
      <c r="E170" s="38">
        <f ca="1">INDIRECT("'"&amp;コード表!$C$3&amp;"'!"&amp;コード表!$D88&amp;コード表!E$58)</f>
        <v>158531</v>
      </c>
      <c r="F170" s="38">
        <f ca="1">INDIRECT("'"&amp;コード表!$C$3&amp;"'!"&amp;コード表!$D88&amp;コード表!F$58)</f>
        <v>157682</v>
      </c>
      <c r="G170" s="38">
        <f ca="1">INDIRECT("'"&amp;コード表!$C$3&amp;"'!"&amp;コード表!$D88&amp;コード表!G$58)</f>
        <v>160298</v>
      </c>
      <c r="H170" s="38">
        <f ca="1">INDIRECT("'"&amp;コード表!$C$3&amp;"'!"&amp;コード表!$D88&amp;コード表!H$58)</f>
        <v>176581</v>
      </c>
      <c r="I170" s="38">
        <f ca="1">INDIRECT("'"&amp;コード表!$C$3&amp;"'!"&amp;コード表!$D88&amp;コード表!I$58)</f>
        <v>182855</v>
      </c>
      <c r="J170" s="38">
        <f ca="1">INDIRECT("'"&amp;コード表!$C$3&amp;"'!"&amp;コード表!$D88&amp;コード表!J$58)</f>
        <v>188517</v>
      </c>
      <c r="K170" s="38">
        <f ca="1">INDIRECT("'"&amp;コード表!$C$3&amp;"'!"&amp;コード表!$D88&amp;コード表!K$58)</f>
        <v>197421</v>
      </c>
      <c r="L170" s="38">
        <f ca="1">INDIRECT("'"&amp;コード表!$C$3&amp;"'!"&amp;コード表!$D88&amp;コード表!L$58)</f>
        <v>182086</v>
      </c>
      <c r="M170" s="38">
        <f ca="1">INDIRECT("'"&amp;コード表!$C$3&amp;"'!"&amp;コード表!$D88&amp;コード表!M$58)</f>
        <v>187985</v>
      </c>
      <c r="N170" s="38">
        <f ca="1">INDIRECT("'"&amp;コード表!$C$3&amp;"'!"&amp;コード表!$D88&amp;コード表!N$58)</f>
        <v>180159</v>
      </c>
      <c r="O170" s="38">
        <f ca="1">INDIRECT("'"&amp;コード表!$C$3&amp;"'!"&amp;コード表!$D88&amp;コード表!O$58)</f>
        <v>196682</v>
      </c>
      <c r="P170" s="30"/>
      <c r="R170" s="62" t="s">
        <v>51</v>
      </c>
      <c r="S170" s="223">
        <f ca="1">HLOOKUP(コード表!$K$108,地域分析BD!$C$208:$O$227,3,FALSE)</f>
        <v>0.73821441494219209</v>
      </c>
      <c r="T170" s="223">
        <f t="shared" ref="T170:T187" ca="1" si="133">Q68</f>
        <v>1.8651303518879263E-2</v>
      </c>
      <c r="V170" s="61">
        <f ca="1">IF(T170="X","X",T170/S170)</f>
        <v>2.5265428500661026E-2</v>
      </c>
      <c r="W170" s="61">
        <v>1</v>
      </c>
      <c r="Y170" s="365" t="s">
        <v>51</v>
      </c>
      <c r="Z170" s="361" t="s">
        <v>52</v>
      </c>
      <c r="AA170" s="361" t="s">
        <v>53</v>
      </c>
      <c r="AB170" s="361" t="s">
        <v>54</v>
      </c>
      <c r="AC170" s="361" t="s">
        <v>55</v>
      </c>
      <c r="AD170" s="363" t="s">
        <v>57</v>
      </c>
    </row>
    <row r="171" spans="1:30" ht="16.5" customHeight="1">
      <c r="A171" s="232" t="s">
        <v>151</v>
      </c>
      <c r="B171" s="100" t="s">
        <v>144</v>
      </c>
      <c r="C171" s="37">
        <f ca="1">INDIRECT("'"&amp;コード表!$C$3&amp;"'!"&amp;コード表!$D88&amp;コード表!C$59)</f>
        <v>160033</v>
      </c>
      <c r="D171" s="39">
        <f ca="1">INDIRECT("'"&amp;コード表!$C$3&amp;"'!"&amp;コード表!$D88&amp;コード表!D$59)</f>
        <v>156880</v>
      </c>
      <c r="E171" s="39">
        <f ca="1">INDIRECT("'"&amp;コード表!$C$3&amp;"'!"&amp;コード表!$D88&amp;コード表!E$59)</f>
        <v>167460</v>
      </c>
      <c r="F171" s="39">
        <f ca="1">INDIRECT("'"&amp;コード表!$C$3&amp;"'!"&amp;コード表!$D88&amp;コード表!F$59)</f>
        <v>174975</v>
      </c>
      <c r="G171" s="39">
        <f ca="1">INDIRECT("'"&amp;コード表!$C$3&amp;"'!"&amp;コード表!$D88&amp;コード表!G$59)</f>
        <v>182132</v>
      </c>
      <c r="H171" s="39">
        <f ca="1">INDIRECT("'"&amp;コード表!$C$3&amp;"'!"&amp;コード表!$D88&amp;コード表!H$59)</f>
        <v>186290</v>
      </c>
      <c r="I171" s="39">
        <f ca="1">INDIRECT("'"&amp;コード表!$C$3&amp;"'!"&amp;コード表!$D88&amp;コード表!I$59)</f>
        <v>191504</v>
      </c>
      <c r="J171" s="39">
        <f ca="1">INDIRECT("'"&amp;コード表!$C$3&amp;"'!"&amp;コード表!$D88&amp;コード表!J$59)</f>
        <v>192006</v>
      </c>
      <c r="K171" s="39">
        <f ca="1">INDIRECT("'"&amp;コード表!$C$3&amp;"'!"&amp;コード表!$D88&amp;コード表!K$59)</f>
        <v>195237</v>
      </c>
      <c r="L171" s="39">
        <f ca="1">INDIRECT("'"&amp;コード表!$C$3&amp;"'!"&amp;コード表!$D88&amp;コード表!L$59)</f>
        <v>172849</v>
      </c>
      <c r="M171" s="39">
        <f ca="1">INDIRECT("'"&amp;コード表!$C$3&amp;"'!"&amp;コード表!$D88&amp;コード表!M$59)</f>
        <v>202738</v>
      </c>
      <c r="N171" s="39">
        <f ca="1">INDIRECT("'"&amp;コード表!$C$3&amp;"'!"&amp;コード表!$D88&amp;コード表!N$59)</f>
        <v>188018</v>
      </c>
      <c r="O171" s="39">
        <f ca="1">INDIRECT("'"&amp;コード表!$C$3&amp;"'!"&amp;コード表!$D88&amp;コード表!O$59)</f>
        <v>200292</v>
      </c>
      <c r="P171" s="30"/>
      <c r="R171" s="64" t="s">
        <v>52</v>
      </c>
      <c r="S171" s="224">
        <f ca="1">HLOOKUP(コード表!$K$108,地域分析BD!$C$208:$O$227,4,FALSE)</f>
        <v>7.602908489411927E-3</v>
      </c>
      <c r="T171" s="224">
        <f t="shared" ca="1" si="133"/>
        <v>3.0394716845581022E-3</v>
      </c>
      <c r="V171" s="63">
        <f t="shared" ref="V171" ca="1" si="134">IF(T171="X","X",T171/S171)</f>
        <v>0.39977749157325454</v>
      </c>
      <c r="W171" s="63">
        <v>1</v>
      </c>
      <c r="Y171" s="366"/>
      <c r="Z171" s="362"/>
      <c r="AA171" s="362"/>
      <c r="AB171" s="362"/>
      <c r="AC171" s="362"/>
      <c r="AD171" s="364"/>
    </row>
    <row r="172" spans="1:30" ht="16.5" customHeight="1" thickBot="1">
      <c r="A172" s="232"/>
      <c r="B172" s="100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0"/>
      <c r="R172" s="64" t="s">
        <v>53</v>
      </c>
      <c r="S172" s="225">
        <f ca="1">HLOOKUP(コード表!$K$108,地域分析BD!$C$208:$O$227,5,FALSE)</f>
        <v>0.20133707807088583</v>
      </c>
      <c r="T172" s="224">
        <f t="shared" ca="1" si="133"/>
        <v>0.14071372321465578</v>
      </c>
      <c r="V172" s="63">
        <f t="shared" ref="V172:V186" ca="1" si="135">IF(T172="X","X",T172/S172)</f>
        <v>0.69889622201189361</v>
      </c>
      <c r="W172" s="63">
        <v>1</v>
      </c>
      <c r="Y172" s="283">
        <f ca="1">V170</f>
        <v>2.5265428500661026E-2</v>
      </c>
      <c r="Z172" s="284">
        <f ca="1">V171</f>
        <v>0.39977749157325454</v>
      </c>
      <c r="AA172" s="284">
        <f ca="1">V172</f>
        <v>0.69889622201189361</v>
      </c>
      <c r="AB172" s="284">
        <f ca="1">V173</f>
        <v>0.22208064210631595</v>
      </c>
      <c r="AC172" s="284">
        <f ca="1">V174</f>
        <v>0.23695772628741218</v>
      </c>
      <c r="AD172" s="285">
        <f ca="1">V175</f>
        <v>0.53248836097383878</v>
      </c>
    </row>
    <row r="173" spans="1:30" ht="16.5" customHeight="1">
      <c r="A173" s="194" t="s">
        <v>246</v>
      </c>
      <c r="B173" s="100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0"/>
      <c r="R173" s="62" t="s">
        <v>54</v>
      </c>
      <c r="S173" s="224">
        <f ca="1">HLOOKUP(コード表!$K$108,地域分析BD!$C$208:$O$227,6,FALSE)</f>
        <v>0.23360097868601065</v>
      </c>
      <c r="T173" s="223">
        <f t="shared" ca="1" si="133"/>
        <v>5.187825534325307E-2</v>
      </c>
      <c r="V173" s="61">
        <f t="shared" ca="1" si="135"/>
        <v>0.22208064210631595</v>
      </c>
      <c r="W173" s="61">
        <v>1</v>
      </c>
      <c r="Y173" s="187" t="s">
        <v>107</v>
      </c>
      <c r="Z173" s="361" t="s">
        <v>58</v>
      </c>
      <c r="AA173" s="361" t="s">
        <v>59</v>
      </c>
      <c r="AB173" s="189" t="s">
        <v>110</v>
      </c>
      <c r="AC173" s="361" t="s">
        <v>61</v>
      </c>
      <c r="AD173" s="363" t="s">
        <v>62</v>
      </c>
    </row>
    <row r="174" spans="1:30" ht="16.5" customHeight="1">
      <c r="A174" s="110" t="str">
        <f>A$2</f>
        <v>那　　覇</v>
      </c>
      <c r="B174" s="193" t="s">
        <v>244</v>
      </c>
      <c r="C174" s="195" t="s">
        <v>245</v>
      </c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30"/>
      <c r="R174" s="64" t="s">
        <v>55</v>
      </c>
      <c r="S174" s="224">
        <f ca="1">HLOOKUP(コード表!$K$108,地域分析BD!$C$208:$O$227,7,FALSE)</f>
        <v>4.288320381825387</v>
      </c>
      <c r="T174" s="224">
        <f t="shared" ca="1" si="133"/>
        <v>1.0161506472693109</v>
      </c>
      <c r="V174" s="63">
        <f t="shared" ca="1" si="135"/>
        <v>0.23695772628741218</v>
      </c>
      <c r="W174" s="63">
        <v>1</v>
      </c>
      <c r="Y174" s="188" t="s">
        <v>108</v>
      </c>
      <c r="Z174" s="362"/>
      <c r="AA174" s="362"/>
      <c r="AB174" s="190" t="s">
        <v>109</v>
      </c>
      <c r="AC174" s="362"/>
      <c r="AD174" s="364"/>
    </row>
    <row r="175" spans="1:30" ht="16.5" customHeight="1" thickBot="1">
      <c r="A175" s="34" t="s">
        <v>270</v>
      </c>
      <c r="B175" s="96"/>
      <c r="C175" s="97"/>
      <c r="D175" s="97"/>
      <c r="E175" s="97"/>
      <c r="F175" s="2"/>
      <c r="G175" s="2"/>
      <c r="H175" s="1"/>
      <c r="I175" s="2"/>
      <c r="J175" s="2"/>
      <c r="K175" s="2"/>
      <c r="L175" s="2"/>
      <c r="M175" s="2"/>
      <c r="N175" s="2"/>
      <c r="O175" s="2"/>
      <c r="P175" s="30"/>
      <c r="R175" s="66" t="s">
        <v>57</v>
      </c>
      <c r="S175" s="224">
        <f ca="1">HLOOKUP(コード表!$K$108,地域分析BD!$C$208:$O$227,8,FALSE)</f>
        <v>8.2053259127797791</v>
      </c>
      <c r="T175" s="225">
        <f t="shared" ca="1" si="133"/>
        <v>4.3692405465522723</v>
      </c>
      <c r="V175" s="65">
        <f t="shared" ca="1" si="135"/>
        <v>0.53248836097383878</v>
      </c>
      <c r="W175" s="65">
        <v>1</v>
      </c>
      <c r="Y175" s="286">
        <f ca="1">V176</f>
        <v>0.70735649430987779</v>
      </c>
      <c r="Z175" s="287">
        <f ca="1">V177</f>
        <v>0.94150916260340933</v>
      </c>
      <c r="AA175" s="287">
        <f ca="1">V178</f>
        <v>1.5355589013665971</v>
      </c>
      <c r="AB175" s="287">
        <f ca="1">V179</f>
        <v>0.9061286641356785</v>
      </c>
      <c r="AC175" s="287">
        <f ca="1">V180</f>
        <v>1.7497822905397322</v>
      </c>
      <c r="AD175" s="288">
        <f ca="1">V181</f>
        <v>1.9114408429352834</v>
      </c>
    </row>
    <row r="176" spans="1:30" ht="16.5" customHeight="1">
      <c r="A176" s="6"/>
      <c r="B176" s="7"/>
      <c r="C176" s="27">
        <f>C$4</f>
        <v>23</v>
      </c>
      <c r="D176" s="27">
        <f t="shared" ref="D176:O176" si="136">D$4</f>
        <v>24</v>
      </c>
      <c r="E176" s="27">
        <f t="shared" si="136"/>
        <v>25</v>
      </c>
      <c r="F176" s="27">
        <f t="shared" si="136"/>
        <v>26</v>
      </c>
      <c r="G176" s="27">
        <f t="shared" si="136"/>
        <v>27</v>
      </c>
      <c r="H176" s="27">
        <f t="shared" si="136"/>
        <v>28</v>
      </c>
      <c r="I176" s="27">
        <f t="shared" si="136"/>
        <v>29</v>
      </c>
      <c r="J176" s="27">
        <f t="shared" si="136"/>
        <v>30</v>
      </c>
      <c r="K176" s="27">
        <f t="shared" si="136"/>
        <v>1</v>
      </c>
      <c r="L176" s="27">
        <f t="shared" si="136"/>
        <v>2</v>
      </c>
      <c r="M176" s="27">
        <f t="shared" si="136"/>
        <v>3</v>
      </c>
      <c r="N176" s="27">
        <f t="shared" si="136"/>
        <v>4</v>
      </c>
      <c r="O176" s="27">
        <f t="shared" si="136"/>
        <v>5</v>
      </c>
      <c r="P176" s="30"/>
      <c r="R176" s="73" t="s">
        <v>123</v>
      </c>
      <c r="S176" s="223">
        <f ca="1">HLOOKUP(コード表!$K$108,地域分析BD!$C$208:$O$227,9,FALSE)</f>
        <v>2.8828592105036441</v>
      </c>
      <c r="T176" s="224">
        <f t="shared" ca="1" si="133"/>
        <v>2.0392091847307996</v>
      </c>
      <c r="V176" s="63">
        <f t="shared" ca="1" si="135"/>
        <v>0.70735649430987779</v>
      </c>
      <c r="W176" s="63">
        <v>1</v>
      </c>
      <c r="Y176" s="365" t="s">
        <v>63</v>
      </c>
      <c r="Z176" s="70" t="s">
        <v>111</v>
      </c>
      <c r="AA176" s="361" t="s">
        <v>65</v>
      </c>
      <c r="AB176" s="361" t="s">
        <v>66</v>
      </c>
      <c r="AC176" s="70" t="s">
        <v>113</v>
      </c>
      <c r="AD176" s="71" t="s">
        <v>115</v>
      </c>
    </row>
    <row r="177" spans="1:30" ht="16.5" customHeight="1">
      <c r="A177" s="12"/>
      <c r="B177" s="13"/>
      <c r="C177" s="28">
        <f>C$5</f>
        <v>2011</v>
      </c>
      <c r="D177" s="28">
        <f t="shared" ref="D177:O177" si="137">D$5</f>
        <v>2012</v>
      </c>
      <c r="E177" s="28">
        <f t="shared" si="137"/>
        <v>2013</v>
      </c>
      <c r="F177" s="28">
        <f t="shared" si="137"/>
        <v>2014</v>
      </c>
      <c r="G177" s="28">
        <f t="shared" si="137"/>
        <v>2015</v>
      </c>
      <c r="H177" s="28">
        <f t="shared" si="137"/>
        <v>2016</v>
      </c>
      <c r="I177" s="28">
        <f t="shared" si="137"/>
        <v>2017</v>
      </c>
      <c r="J177" s="28">
        <f t="shared" si="137"/>
        <v>2018</v>
      </c>
      <c r="K177" s="28">
        <f t="shared" si="137"/>
        <v>2019</v>
      </c>
      <c r="L177" s="28">
        <f t="shared" si="137"/>
        <v>2020</v>
      </c>
      <c r="M177" s="28">
        <f t="shared" si="137"/>
        <v>2021</v>
      </c>
      <c r="N177" s="28">
        <f t="shared" si="137"/>
        <v>2022</v>
      </c>
      <c r="O177" s="28">
        <f t="shared" si="137"/>
        <v>2023</v>
      </c>
      <c r="P177" s="30"/>
      <c r="R177" s="64" t="s">
        <v>58</v>
      </c>
      <c r="S177" s="224">
        <f ca="1">HLOOKUP(コード表!$K$108,地域分析BD!$C$208:$O$227,10,FALSE)</f>
        <v>9.3281656529455343</v>
      </c>
      <c r="T177" s="224">
        <f t="shared" ca="1" si="133"/>
        <v>8.7825534325306354</v>
      </c>
      <c r="V177" s="63">
        <f t="shared" ca="1" si="135"/>
        <v>0.94150916260340933</v>
      </c>
      <c r="W177" s="63">
        <v>1</v>
      </c>
      <c r="Y177" s="366"/>
      <c r="Z177" s="190" t="s">
        <v>112</v>
      </c>
      <c r="AA177" s="362"/>
      <c r="AB177" s="362"/>
      <c r="AC177" s="190" t="s">
        <v>114</v>
      </c>
      <c r="AD177" s="191" t="s">
        <v>116</v>
      </c>
    </row>
    <row r="178" spans="1:30" ht="16.5" customHeight="1" thickBot="1">
      <c r="A178" s="114" t="s">
        <v>159</v>
      </c>
      <c r="B178" s="23" t="s">
        <v>51</v>
      </c>
      <c r="C178" s="158"/>
      <c r="D178" s="31">
        <f ca="1">IF(C134="X","X",IF(D134="X","X",IF(C134&lt;&gt;0,ROUND((D134-C134)/ABS(C134)*100,3),"- ")))</f>
        <v>11.752000000000001</v>
      </c>
      <c r="E178" s="31">
        <f t="shared" ref="E178:M178" ca="1" si="138">IF(D134="X","X",IF(E134="X","X",IF(D134&lt;&gt;0,ROUND((E134-D134)/ABS(D134)*100,3),"- ")))</f>
        <v>-6.3440000000000003</v>
      </c>
      <c r="F178" s="31">
        <f t="shared" ca="1" si="138"/>
        <v>7.3559999999999999</v>
      </c>
      <c r="G178" s="31">
        <f t="shared" ca="1" si="138"/>
        <v>-4.1929999999999996</v>
      </c>
      <c r="H178" s="31">
        <f t="shared" ca="1" si="138"/>
        <v>37.332999999999998</v>
      </c>
      <c r="I178" s="31">
        <f t="shared" ca="1" si="138"/>
        <v>-19.753</v>
      </c>
      <c r="J178" s="31">
        <f t="shared" ca="1" si="138"/>
        <v>-8.0869999999999997</v>
      </c>
      <c r="K178" s="31">
        <f t="shared" ca="1" si="138"/>
        <v>-4.3250000000000002</v>
      </c>
      <c r="L178" s="31">
        <f t="shared" ca="1" si="138"/>
        <v>-19.887</v>
      </c>
      <c r="M178" s="31">
        <f t="shared" ca="1" si="138"/>
        <v>19.768000000000001</v>
      </c>
      <c r="N178" s="31">
        <f t="shared" ref="N178:N203" ca="1" si="139">IF(M134="X","X",IF(N134="X","X",IF(M134&lt;&gt;0,ROUND((N134-M134)/ABS(M134)*100,3),"- ")))</f>
        <v>-28.452000000000002</v>
      </c>
      <c r="O178" s="31">
        <f t="shared" ref="O178:O203" ca="1" si="140">IF(N134="X","X",IF(O134="X","X",IF(N134&lt;&gt;0,ROUND((O134-N134)/ABS(N134)*100,3),"- ")))</f>
        <v>6.3620000000000001</v>
      </c>
      <c r="P178" s="30"/>
      <c r="R178" s="64" t="s">
        <v>59</v>
      </c>
      <c r="S178" s="224">
        <f ca="1">HLOOKUP(コード表!$K$108,地域分析BD!$C$208:$O$227,11,FALSE)</f>
        <v>6.749228940158865</v>
      </c>
      <c r="T178" s="224">
        <f t="shared" ca="1" si="133"/>
        <v>10.363838576421989</v>
      </c>
      <c r="V178" s="63">
        <f t="shared" ca="1" si="135"/>
        <v>1.5355589013665971</v>
      </c>
      <c r="W178" s="63">
        <v>1</v>
      </c>
      <c r="Y178" s="286">
        <f ca="1">V182</f>
        <v>0.84062623402640779</v>
      </c>
      <c r="Z178" s="287">
        <f ca="1">V183</f>
        <v>1.3541824023762661</v>
      </c>
      <c r="AA178" s="287">
        <f ca="1">V184</f>
        <v>1.492142084579303</v>
      </c>
      <c r="AB178" s="287">
        <f ca="1">V185</f>
        <v>0.5489888807194494</v>
      </c>
      <c r="AC178" s="287">
        <f ca="1">V186</f>
        <v>0.74682690933612261</v>
      </c>
      <c r="AD178" s="288">
        <f ca="1">V187</f>
        <v>0.80055674777867736</v>
      </c>
    </row>
    <row r="179" spans="1:30" ht="16.5" customHeight="1">
      <c r="A179" s="114" t="s">
        <v>3</v>
      </c>
      <c r="B179" s="99" t="s">
        <v>52</v>
      </c>
      <c r="C179" s="159"/>
      <c r="D179" s="30">
        <f t="shared" ref="D179:M179" ca="1" si="141">IF(C135="X","X",IF(D135="X","X",IF(C135&lt;&gt;0,ROUND((D135-C135)/ABS(C135)*100,3),"- ")))</f>
        <v>-6.984</v>
      </c>
      <c r="E179" s="30">
        <f t="shared" ca="1" si="141"/>
        <v>8.8740000000000006</v>
      </c>
      <c r="F179" s="30">
        <f t="shared" ca="1" si="141"/>
        <v>13.166</v>
      </c>
      <c r="G179" s="30">
        <f t="shared" ca="1" si="141"/>
        <v>-3.0470000000000002</v>
      </c>
      <c r="H179" s="30">
        <f t="shared" ca="1" si="141"/>
        <v>1.143</v>
      </c>
      <c r="I179" s="30">
        <f t="shared" ca="1" si="141"/>
        <v>-7.6269999999999998</v>
      </c>
      <c r="J179" s="30">
        <f t="shared" ca="1" si="141"/>
        <v>-1.5289999999999999</v>
      </c>
      <c r="K179" s="30">
        <f t="shared" ca="1" si="141"/>
        <v>21.117999999999999</v>
      </c>
      <c r="L179" s="30">
        <f t="shared" ca="1" si="141"/>
        <v>7.4359999999999999</v>
      </c>
      <c r="M179" s="30">
        <f t="shared" ca="1" si="141"/>
        <v>1.4319999999999999</v>
      </c>
      <c r="N179" s="30">
        <f t="shared" ca="1" si="139"/>
        <v>-15.294</v>
      </c>
      <c r="O179" s="30">
        <f t="shared" ca="1" si="140"/>
        <v>-1.944</v>
      </c>
      <c r="P179" s="30"/>
      <c r="R179" s="72" t="s">
        <v>124</v>
      </c>
      <c r="S179" s="224">
        <f ca="1">HLOOKUP(コード表!$K$108,地域分析BD!$C$208:$O$227,12,FALSE)</f>
        <v>4.8039612660888746</v>
      </c>
      <c r="T179" s="224">
        <f t="shared" ca="1" si="133"/>
        <v>4.3530070046006548</v>
      </c>
      <c r="V179" s="63">
        <f t="shared" ca="1" si="135"/>
        <v>0.9061286641356785</v>
      </c>
      <c r="W179" s="63">
        <v>1</v>
      </c>
      <c r="Y179" s="293"/>
      <c r="Z179" s="293"/>
      <c r="AA179" s="293"/>
      <c r="AB179" s="293"/>
      <c r="AC179" s="293"/>
      <c r="AD179" s="226" t="str">
        <f ca="1">IF(SUM(V170:V187)=SUM(Y172:AD172,Y175:AD175,Y178:AD178),"OK","NG")</f>
        <v>OK</v>
      </c>
    </row>
    <row r="180" spans="1:30" ht="16.5" customHeight="1">
      <c r="A180" s="114" t="s">
        <v>5</v>
      </c>
      <c r="B180" s="99" t="s">
        <v>53</v>
      </c>
      <c r="C180" s="159"/>
      <c r="D180" s="30">
        <f t="shared" ref="D180:M180" ca="1" si="142">IF(C136="X","X",IF(D136="X","X",IF(C136&lt;&gt;0,ROUND((D136-C136)/ABS(C136)*100,3),"- ")))</f>
        <v>12.641999999999999</v>
      </c>
      <c r="E180" s="30">
        <f t="shared" ca="1" si="142"/>
        <v>-2.9470000000000001</v>
      </c>
      <c r="F180" s="30">
        <f t="shared" ca="1" si="142"/>
        <v>11.936</v>
      </c>
      <c r="G180" s="30">
        <f t="shared" ca="1" si="142"/>
        <v>20.164000000000001</v>
      </c>
      <c r="H180" s="30">
        <f t="shared" ca="1" si="142"/>
        <v>-0.40500000000000003</v>
      </c>
      <c r="I180" s="30">
        <f t="shared" ca="1" si="142"/>
        <v>5.117</v>
      </c>
      <c r="J180" s="30">
        <f t="shared" ca="1" si="142"/>
        <v>-0.64300000000000002</v>
      </c>
      <c r="K180" s="30">
        <f t="shared" ca="1" si="142"/>
        <v>-6.8390000000000004</v>
      </c>
      <c r="L180" s="30">
        <f t="shared" ca="1" si="142"/>
        <v>-17.943999999999999</v>
      </c>
      <c r="M180" s="30">
        <f t="shared" ca="1" si="142"/>
        <v>-4.9020000000000001</v>
      </c>
      <c r="N180" s="30">
        <f t="shared" ca="1" si="139"/>
        <v>-1.7549999999999999</v>
      </c>
      <c r="O180" s="30">
        <f t="shared" ca="1" si="140"/>
        <v>15.951000000000001</v>
      </c>
      <c r="P180" s="30"/>
      <c r="R180" s="64" t="s">
        <v>61</v>
      </c>
      <c r="S180" s="224">
        <f ca="1">HLOOKUP(コード表!$K$108,地域分析BD!$C$208:$O$227,13,FALSE)</f>
        <v>3.7557937178007137</v>
      </c>
      <c r="T180" s="224">
        <f t="shared" ca="1" si="133"/>
        <v>6.5718213343280691</v>
      </c>
      <c r="V180" s="63">
        <f t="shared" ca="1" si="135"/>
        <v>1.7497822905397322</v>
      </c>
      <c r="W180" s="63">
        <v>1</v>
      </c>
      <c r="Y180" s="294"/>
      <c r="Z180" s="294"/>
      <c r="AA180" s="294"/>
      <c r="AB180" s="294"/>
      <c r="AC180" s="294"/>
      <c r="AD180" s="294"/>
    </row>
    <row r="181" spans="1:30" ht="16.5" customHeight="1">
      <c r="A181" s="114" t="s">
        <v>7</v>
      </c>
      <c r="B181" s="23" t="s">
        <v>54</v>
      </c>
      <c r="C181" s="159"/>
      <c r="D181" s="30">
        <f t="shared" ref="D181:M181" ca="1" si="143">IF(C137="X","X",IF(D137="X","X",IF(C137&lt;&gt;0,ROUND((D137-C137)/ABS(C137)*100,3),"- ")))</f>
        <v>-0.249</v>
      </c>
      <c r="E181" s="30">
        <f t="shared" ca="1" si="143"/>
        <v>21.385999999999999</v>
      </c>
      <c r="F181" s="30">
        <f t="shared" ca="1" si="143"/>
        <v>15.920999999999999</v>
      </c>
      <c r="G181" s="30">
        <f t="shared" ca="1" si="143"/>
        <v>26.248000000000001</v>
      </c>
      <c r="H181" s="30">
        <f t="shared" ca="1" si="143"/>
        <v>7.8559999999999999</v>
      </c>
      <c r="I181" s="30">
        <f t="shared" ca="1" si="143"/>
        <v>15.218999999999999</v>
      </c>
      <c r="J181" s="30">
        <f t="shared" ca="1" si="143"/>
        <v>7.4669999999999996</v>
      </c>
      <c r="K181" s="30">
        <f t="shared" ca="1" si="143"/>
        <v>6.9610000000000003</v>
      </c>
      <c r="L181" s="30">
        <f t="shared" ca="1" si="143"/>
        <v>6.7789999999999999</v>
      </c>
      <c r="M181" s="30">
        <f t="shared" ca="1" si="143"/>
        <v>0.88700000000000001</v>
      </c>
      <c r="N181" s="30">
        <f t="shared" ca="1" si="139"/>
        <v>24.588999999999999</v>
      </c>
      <c r="O181" s="30">
        <f t="shared" ca="1" si="140"/>
        <v>-0.57799999999999996</v>
      </c>
      <c r="P181" s="30"/>
      <c r="R181" s="64" t="s">
        <v>62</v>
      </c>
      <c r="S181" s="224">
        <f ca="1">HLOOKUP(コード表!$K$108,地域分析BD!$C$208:$O$227,14,FALSE)</f>
        <v>3.9666936609404346</v>
      </c>
      <c r="T181" s="224">
        <f t="shared" ca="1" si="133"/>
        <v>7.5821002749340298</v>
      </c>
      <c r="V181" s="63">
        <f t="shared" ca="1" si="135"/>
        <v>1.9114408429352834</v>
      </c>
      <c r="W181" s="63">
        <v>1</v>
      </c>
      <c r="AD181" s="226"/>
    </row>
    <row r="182" spans="1:30" ht="16.5" customHeight="1">
      <c r="A182" s="114" t="s">
        <v>9</v>
      </c>
      <c r="B182" s="99" t="s">
        <v>55</v>
      </c>
      <c r="C182" s="159"/>
      <c r="D182" s="30">
        <f t="shared" ref="D182:M182" ca="1" si="144">IF(C138="X","X",IF(D138="X","X",IF(C138&lt;&gt;0,ROUND((D138-C138)/ABS(C138)*100,3),"- ")))</f>
        <v>-20.207999999999998</v>
      </c>
      <c r="E182" s="30">
        <f t="shared" ca="1" si="144"/>
        <v>5.4379999999999997</v>
      </c>
      <c r="F182" s="30">
        <f t="shared" ca="1" si="144"/>
        <v>-3.423</v>
      </c>
      <c r="G182" s="30">
        <f t="shared" ca="1" si="144"/>
        <v>13.2</v>
      </c>
      <c r="H182" s="30">
        <f t="shared" ca="1" si="144"/>
        <v>2.1880000000000002</v>
      </c>
      <c r="I182" s="30">
        <f t="shared" ca="1" si="144"/>
        <v>-0.218</v>
      </c>
      <c r="J182" s="30">
        <f t="shared" ca="1" si="144"/>
        <v>1.8819999999999999</v>
      </c>
      <c r="K182" s="30">
        <f t="shared" ca="1" si="144"/>
        <v>-3.653</v>
      </c>
      <c r="L182" s="30">
        <f t="shared" ca="1" si="144"/>
        <v>9.7799999999999994</v>
      </c>
      <c r="M182" s="30">
        <f t="shared" ca="1" si="144"/>
        <v>-10.750999999999999</v>
      </c>
      <c r="N182" s="30">
        <f t="shared" ca="1" si="139"/>
        <v>-3.0139999999999998</v>
      </c>
      <c r="O182" s="30">
        <f t="shared" ca="1" si="140"/>
        <v>11.276</v>
      </c>
      <c r="P182" s="30"/>
      <c r="R182" s="64" t="s">
        <v>63</v>
      </c>
      <c r="S182" s="224">
        <f ca="1">HLOOKUP(コード表!$K$108,地域分析BD!$C$208:$O$227,15,FALSE)</f>
        <v>12.690201940141636</v>
      </c>
      <c r="T182" s="224">
        <f t="shared" ca="1" si="133"/>
        <v>10.667716665975878</v>
      </c>
      <c r="V182" s="63">
        <f t="shared" ca="1" si="135"/>
        <v>0.84062623402640779</v>
      </c>
      <c r="W182" s="63">
        <v>1</v>
      </c>
    </row>
    <row r="183" spans="1:30" ht="16.5" customHeight="1">
      <c r="A183" s="114" t="s">
        <v>11</v>
      </c>
      <c r="B183" s="99" t="s">
        <v>57</v>
      </c>
      <c r="C183" s="159"/>
      <c r="D183" s="30">
        <f t="shared" ref="D183:M183" ca="1" si="145">IF(C139="X","X",IF(D139="X","X",IF(C139&lt;&gt;0,ROUND((D139-C139)/ABS(C139)*100,3),"- ")))</f>
        <v>-1.8759999999999999</v>
      </c>
      <c r="E183" s="30">
        <f t="shared" ca="1" si="145"/>
        <v>21.032</v>
      </c>
      <c r="F183" s="30">
        <f t="shared" ca="1" si="145"/>
        <v>9.6259999999999994</v>
      </c>
      <c r="G183" s="30">
        <f t="shared" ca="1" si="145"/>
        <v>15.547000000000001</v>
      </c>
      <c r="H183" s="30">
        <f t="shared" ca="1" si="145"/>
        <v>6.931</v>
      </c>
      <c r="I183" s="30">
        <f t="shared" ca="1" si="145"/>
        <v>9.1340000000000003</v>
      </c>
      <c r="J183" s="30">
        <f t="shared" ca="1" si="145"/>
        <v>1.7030000000000001</v>
      </c>
      <c r="K183" s="30">
        <f t="shared" ca="1" si="145"/>
        <v>4.0220000000000002</v>
      </c>
      <c r="L183" s="30">
        <f t="shared" ca="1" si="145"/>
        <v>-17.989999999999998</v>
      </c>
      <c r="M183" s="30">
        <f t="shared" ca="1" si="145"/>
        <v>20.116</v>
      </c>
      <c r="N183" s="30">
        <f t="shared" ca="1" si="139"/>
        <v>-16.574999999999999</v>
      </c>
      <c r="O183" s="30">
        <f t="shared" ca="1" si="140"/>
        <v>-2.1030000000000002</v>
      </c>
      <c r="P183" s="30"/>
      <c r="R183" s="72" t="s">
        <v>122</v>
      </c>
      <c r="S183" s="224">
        <f ca="1">HLOOKUP(コード表!$K$108,地域分析BD!$C$208:$O$227,16,FALSE)</f>
        <v>10.216025983424368</v>
      </c>
      <c r="T183" s="224">
        <f t="shared" ca="1" si="133"/>
        <v>13.834362608971967</v>
      </c>
      <c r="V183" s="63">
        <f t="shared" ca="1" si="135"/>
        <v>1.3541824023762661</v>
      </c>
      <c r="W183" s="63">
        <v>1</v>
      </c>
    </row>
    <row r="184" spans="1:30" ht="16.5" customHeight="1">
      <c r="A184" s="114" t="s">
        <v>13</v>
      </c>
      <c r="B184" s="99" t="s">
        <v>56</v>
      </c>
      <c r="C184" s="159"/>
      <c r="D184" s="30">
        <f t="shared" ref="D184:M184" ca="1" si="146">IF(C140="X","X",IF(D140="X","X",IF(C140&lt;&gt;0,ROUND((D140-C140)/ABS(C140)*100,3),"- ")))</f>
        <v>-2.0640000000000001</v>
      </c>
      <c r="E184" s="30">
        <f t="shared" ca="1" si="146"/>
        <v>6.18</v>
      </c>
      <c r="F184" s="30">
        <f t="shared" ca="1" si="146"/>
        <v>8.5410000000000004</v>
      </c>
      <c r="G184" s="30">
        <f t="shared" ca="1" si="146"/>
        <v>4.0529999999999999</v>
      </c>
      <c r="H184" s="30">
        <f t="shared" ca="1" si="146"/>
        <v>0.68300000000000005</v>
      </c>
      <c r="I184" s="30">
        <f t="shared" ca="1" si="146"/>
        <v>2.6309999999999998</v>
      </c>
      <c r="J184" s="30">
        <f t="shared" ca="1" si="146"/>
        <v>-2.2109999999999999</v>
      </c>
      <c r="K184" s="30">
        <f t="shared" ca="1" si="146"/>
        <v>8.234</v>
      </c>
      <c r="L184" s="30">
        <f t="shared" ca="1" si="146"/>
        <v>2.12</v>
      </c>
      <c r="M184" s="30">
        <f t="shared" ca="1" si="146"/>
        <v>-2.0939999999999999</v>
      </c>
      <c r="N184" s="30">
        <f t="shared" ca="1" si="139"/>
        <v>-51.637999999999998</v>
      </c>
      <c r="O184" s="30">
        <f t="shared" ca="1" si="140"/>
        <v>51.802</v>
      </c>
      <c r="P184" s="30"/>
      <c r="R184" s="64" t="s">
        <v>65</v>
      </c>
      <c r="S184" s="224">
        <f ca="1">HLOOKUP(コード表!$K$108,地域分析BD!$C$208:$O$227,17,FALSE)</f>
        <v>9.8949807881179233</v>
      </c>
      <c r="T184" s="224">
        <f t="shared" ca="1" si="133"/>
        <v>14.764717260054432</v>
      </c>
      <c r="V184" s="63">
        <f t="shared" ca="1" si="135"/>
        <v>1.492142084579303</v>
      </c>
      <c r="W184" s="63">
        <v>1</v>
      </c>
    </row>
    <row r="185" spans="1:30" ht="16.5" customHeight="1">
      <c r="A185" s="114" t="s">
        <v>15</v>
      </c>
      <c r="B185" s="99" t="s">
        <v>58</v>
      </c>
      <c r="C185" s="159"/>
      <c r="D185" s="30">
        <f t="shared" ref="D185:M185" ca="1" si="147">IF(C141="X","X",IF(D141="X","X",IF(C141&lt;&gt;0,ROUND((D141-C141)/ABS(C141)*100,3),"- ")))</f>
        <v>3.8740000000000001</v>
      </c>
      <c r="E185" s="30">
        <f t="shared" ca="1" si="147"/>
        <v>5.1189999999999998</v>
      </c>
      <c r="F185" s="30">
        <f t="shared" ca="1" si="147"/>
        <v>-1.0489999999999999</v>
      </c>
      <c r="G185" s="30">
        <f t="shared" ca="1" si="147"/>
        <v>0.95599999999999996</v>
      </c>
      <c r="H185" s="30">
        <f t="shared" ca="1" si="147"/>
        <v>-0.42799999999999999</v>
      </c>
      <c r="I185" s="30">
        <f t="shared" ca="1" si="147"/>
        <v>3.1230000000000002</v>
      </c>
      <c r="J185" s="30">
        <f t="shared" ca="1" si="147"/>
        <v>-1.016</v>
      </c>
      <c r="K185" s="30">
        <f t="shared" ca="1" si="147"/>
        <v>-2.367</v>
      </c>
      <c r="L185" s="30">
        <f t="shared" ca="1" si="147"/>
        <v>-6.5819999999999999</v>
      </c>
      <c r="M185" s="30">
        <f t="shared" ca="1" si="147"/>
        <v>5.1689999999999996</v>
      </c>
      <c r="N185" s="30">
        <f t="shared" ca="1" si="139"/>
        <v>2.5939999999999999</v>
      </c>
      <c r="O185" s="30">
        <f t="shared" ca="1" si="140"/>
        <v>4.6260000000000003</v>
      </c>
      <c r="P185" s="30"/>
      <c r="R185" s="64" t="s">
        <v>66</v>
      </c>
      <c r="S185" s="224">
        <f ca="1">HLOOKUP(コード表!$K$108,地域分析BD!$C$208:$O$227,18,FALSE)</f>
        <v>5.6234384961317785</v>
      </c>
      <c r="T185" s="224">
        <f t="shared" ca="1" si="133"/>
        <v>3.0872052057860486</v>
      </c>
      <c r="V185" s="63">
        <f t="shared" ca="1" si="135"/>
        <v>0.5489888807194494</v>
      </c>
      <c r="W185" s="63">
        <v>1</v>
      </c>
    </row>
    <row r="186" spans="1:30" ht="16.5" customHeight="1">
      <c r="A186" s="114" t="s">
        <v>16</v>
      </c>
      <c r="B186" s="99" t="s">
        <v>59</v>
      </c>
      <c r="C186" s="159"/>
      <c r="D186" s="30">
        <f t="shared" ref="D186:M186" ca="1" si="148">IF(C142="X","X",IF(D142="X","X",IF(C142&lt;&gt;0,ROUND((D142-C142)/ABS(C142)*100,3),"- ")))</f>
        <v>-0.67200000000000004</v>
      </c>
      <c r="E186" s="30">
        <f t="shared" ca="1" si="148"/>
        <v>5.3289999999999997</v>
      </c>
      <c r="F186" s="30">
        <f t="shared" ca="1" si="148"/>
        <v>-1.2849999999999999</v>
      </c>
      <c r="G186" s="30">
        <f t="shared" ca="1" si="148"/>
        <v>6.1310000000000002</v>
      </c>
      <c r="H186" s="30">
        <f t="shared" ca="1" si="148"/>
        <v>7.48</v>
      </c>
      <c r="I186" s="30">
        <f t="shared" ca="1" si="148"/>
        <v>0.98399999999999999</v>
      </c>
      <c r="J186" s="30">
        <f t="shared" ca="1" si="148"/>
        <v>1.0820000000000001</v>
      </c>
      <c r="K186" s="30">
        <f t="shared" ca="1" si="148"/>
        <v>-1.78</v>
      </c>
      <c r="L186" s="30">
        <f t="shared" ca="1" si="148"/>
        <v>-32.317999999999998</v>
      </c>
      <c r="M186" s="30">
        <f t="shared" ca="1" si="148"/>
        <v>4.7489999999999997</v>
      </c>
      <c r="N186" s="30">
        <f t="shared" ca="1" si="139"/>
        <v>26.219000000000001</v>
      </c>
      <c r="O186" s="30">
        <f t="shared" ca="1" si="140"/>
        <v>23.684000000000001</v>
      </c>
      <c r="P186" s="30"/>
      <c r="R186" s="72" t="s">
        <v>126</v>
      </c>
      <c r="S186" s="224">
        <f ca="1">HLOOKUP(コード表!$K$108,地域分析BD!$C$208:$O$227,19,FALSE)</f>
        <v>12.042123989868532</v>
      </c>
      <c r="T186" s="224">
        <f t="shared" ca="1" si="133"/>
        <v>8.9933822411958939</v>
      </c>
      <c r="V186" s="63">
        <f t="shared" ca="1" si="135"/>
        <v>0.74682690933612261</v>
      </c>
      <c r="W186" s="63">
        <v>1</v>
      </c>
    </row>
    <row r="187" spans="1:30" ht="16.5" customHeight="1">
      <c r="A187" s="18">
        <v>10</v>
      </c>
      <c r="B187" s="99" t="s">
        <v>60</v>
      </c>
      <c r="C187" s="159"/>
      <c r="D187" s="30">
        <f t="shared" ref="D187:M187" ca="1" si="149">IF(C143="X","X",IF(D143="X","X",IF(C143&lt;&gt;0,ROUND((D143-C143)/ABS(C143)*100,3),"- ")))</f>
        <v>-0.78400000000000003</v>
      </c>
      <c r="E187" s="30">
        <f t="shared" ca="1" si="149"/>
        <v>4.6360000000000001</v>
      </c>
      <c r="F187" s="30">
        <f t="shared" ca="1" si="149"/>
        <v>-6.0999999999999999E-2</v>
      </c>
      <c r="G187" s="30">
        <f t="shared" ca="1" si="149"/>
        <v>3.3140000000000001</v>
      </c>
      <c r="H187" s="30">
        <f t="shared" ca="1" si="149"/>
        <v>14.51</v>
      </c>
      <c r="I187" s="30">
        <f t="shared" ca="1" si="149"/>
        <v>4.665</v>
      </c>
      <c r="J187" s="30">
        <f t="shared" ca="1" si="149"/>
        <v>0.74099999999999999</v>
      </c>
      <c r="K187" s="30">
        <f t="shared" ca="1" si="149"/>
        <v>-6.1029999999999998</v>
      </c>
      <c r="L187" s="30">
        <f t="shared" ca="1" si="149"/>
        <v>-42.04</v>
      </c>
      <c r="M187" s="30">
        <f t="shared" ca="1" si="149"/>
        <v>-1.6890000000000001</v>
      </c>
      <c r="N187" s="30">
        <f t="shared" ca="1" si="139"/>
        <v>50.938000000000002</v>
      </c>
      <c r="O187" s="30">
        <f t="shared" ca="1" si="140"/>
        <v>34.482999999999997</v>
      </c>
      <c r="P187" s="30"/>
      <c r="R187" s="74" t="s">
        <v>125</v>
      </c>
      <c r="S187" s="225">
        <f ca="1">HLOOKUP(コード表!$K$108,地域分析BD!$C$208:$O$227,20,FALSE)</f>
        <v>5.0733368368454608</v>
      </c>
      <c r="T187" s="225">
        <f t="shared" ca="1" si="133"/>
        <v>4.0614940384907641</v>
      </c>
      <c r="V187" s="65">
        <f ca="1">IF(T187="X","X",T187/S187)</f>
        <v>0.80055674777867736</v>
      </c>
      <c r="W187" s="65">
        <v>1</v>
      </c>
    </row>
    <row r="188" spans="1:30" ht="16.5" customHeight="1">
      <c r="A188" s="18">
        <v>11</v>
      </c>
      <c r="B188" s="99" t="s">
        <v>61</v>
      </c>
      <c r="C188" s="159"/>
      <c r="D188" s="30">
        <f t="shared" ref="D188:M188" ca="1" si="150">IF(C144="X","X",IF(D144="X","X",IF(C144&lt;&gt;0,ROUND((D144-C144)/ABS(C144)*100,3),"- ")))</f>
        <v>5.6760000000000002</v>
      </c>
      <c r="E188" s="30">
        <f t="shared" ca="1" si="150"/>
        <v>3.383</v>
      </c>
      <c r="F188" s="30">
        <f t="shared" ca="1" si="150"/>
        <v>-1.81</v>
      </c>
      <c r="G188" s="30">
        <f t="shared" ca="1" si="150"/>
        <v>3.3330000000000002</v>
      </c>
      <c r="H188" s="30">
        <f t="shared" ca="1" si="150"/>
        <v>5.484</v>
      </c>
      <c r="I188" s="30">
        <f t="shared" ca="1" si="150"/>
        <v>-2.5369999999999999</v>
      </c>
      <c r="J188" s="30">
        <f t="shared" ca="1" si="150"/>
        <v>1.627</v>
      </c>
      <c r="K188" s="30">
        <f t="shared" ca="1" si="150"/>
        <v>-7.0670000000000002</v>
      </c>
      <c r="L188" s="30">
        <f t="shared" ca="1" si="150"/>
        <v>-0.433</v>
      </c>
      <c r="M188" s="30">
        <f t="shared" ca="1" si="150"/>
        <v>-6.7939999999999996</v>
      </c>
      <c r="N188" s="30">
        <f t="shared" ca="1" si="139"/>
        <v>-2.3199999999999998</v>
      </c>
      <c r="O188" s="30">
        <f t="shared" ca="1" si="140"/>
        <v>1.49</v>
      </c>
      <c r="P188" s="30"/>
      <c r="R188" s="199"/>
      <c r="S188" s="200">
        <f ca="1">SUM(S170:S187)</f>
        <v>100.70121215776143</v>
      </c>
      <c r="T188" s="200">
        <f ca="1">SUM(T170:T187)</f>
        <v>100.7010817756041</v>
      </c>
      <c r="V188" s="200"/>
      <c r="W188" s="200"/>
    </row>
    <row r="189" spans="1:30" ht="16.5" customHeight="1">
      <c r="A189" s="18">
        <v>12</v>
      </c>
      <c r="B189" s="99" t="s">
        <v>62</v>
      </c>
      <c r="C189" s="159"/>
      <c r="D189" s="30">
        <f t="shared" ref="D189:M189" ca="1" si="151">IF(C145="X","X",IF(D145="X","X",IF(C145&lt;&gt;0,ROUND((D145-C145)/ABS(C145)*100,3),"- ")))</f>
        <v>-3.64</v>
      </c>
      <c r="E189" s="30">
        <f t="shared" ca="1" si="151"/>
        <v>4.0949999999999998</v>
      </c>
      <c r="F189" s="30">
        <f t="shared" ca="1" si="151"/>
        <v>-1.282</v>
      </c>
      <c r="G189" s="30">
        <f t="shared" ca="1" si="151"/>
        <v>3.4940000000000002</v>
      </c>
      <c r="H189" s="30">
        <f t="shared" ca="1" si="151"/>
        <v>-6.2439999999999998</v>
      </c>
      <c r="I189" s="30">
        <f t="shared" ca="1" si="151"/>
        <v>2.6269999999999998</v>
      </c>
      <c r="J189" s="30">
        <f t="shared" ca="1" si="151"/>
        <v>2.9630000000000001</v>
      </c>
      <c r="K189" s="30">
        <f t="shared" ca="1" si="151"/>
        <v>4.444</v>
      </c>
      <c r="L189" s="30">
        <f t="shared" ca="1" si="151"/>
        <v>-1.5860000000000001</v>
      </c>
      <c r="M189" s="30">
        <f t="shared" ca="1" si="151"/>
        <v>3.6139999999999999</v>
      </c>
      <c r="N189" s="30">
        <f t="shared" ca="1" si="139"/>
        <v>12.718999999999999</v>
      </c>
      <c r="O189" s="30">
        <f t="shared" ca="1" si="140"/>
        <v>4.9800000000000004</v>
      </c>
      <c r="P189" s="30"/>
      <c r="R189" s="291"/>
      <c r="S189" s="292"/>
      <c r="T189" s="292"/>
      <c r="V189" s="290"/>
      <c r="W189" s="290"/>
    </row>
    <row r="190" spans="1:30" ht="16.5" customHeight="1">
      <c r="A190" s="18">
        <v>13</v>
      </c>
      <c r="B190" s="99" t="s">
        <v>63</v>
      </c>
      <c r="C190" s="159"/>
      <c r="D190" s="30">
        <f t="shared" ref="D190:M190" ca="1" si="152">IF(C146="X","X",IF(D146="X","X",IF(C146&lt;&gt;0,ROUND((D146-C146)/ABS(C146)*100,3),"- ")))</f>
        <v>0.378</v>
      </c>
      <c r="E190" s="30">
        <f t="shared" ca="1" si="152"/>
        <v>0.32400000000000001</v>
      </c>
      <c r="F190" s="30">
        <f t="shared" ca="1" si="152"/>
        <v>2.9159999999999999</v>
      </c>
      <c r="G190" s="30">
        <f t="shared" ca="1" si="152"/>
        <v>1.137</v>
      </c>
      <c r="H190" s="30">
        <f t="shared" ca="1" si="152"/>
        <v>1.5629999999999999</v>
      </c>
      <c r="I190" s="30">
        <f t="shared" ca="1" si="152"/>
        <v>3.78</v>
      </c>
      <c r="J190" s="30">
        <f t="shared" ca="1" si="152"/>
        <v>0.69699999999999995</v>
      </c>
      <c r="K190" s="30">
        <f t="shared" ca="1" si="152"/>
        <v>3.8580000000000001</v>
      </c>
      <c r="L190" s="30">
        <f t="shared" ca="1" si="152"/>
        <v>3.4369999999999998</v>
      </c>
      <c r="M190" s="30">
        <f t="shared" ca="1" si="152"/>
        <v>3.9550000000000001</v>
      </c>
      <c r="N190" s="30">
        <f t="shared" ca="1" si="139"/>
        <v>3.7970000000000002</v>
      </c>
      <c r="O190" s="30">
        <f t="shared" ca="1" si="140"/>
        <v>-0.222</v>
      </c>
      <c r="P190" s="30"/>
      <c r="R190" s="199"/>
      <c r="S190" s="290"/>
      <c r="T190" s="290"/>
    </row>
    <row r="191" spans="1:30" ht="16.5" customHeight="1">
      <c r="A191" s="18">
        <v>14</v>
      </c>
      <c r="B191" s="99" t="s">
        <v>64</v>
      </c>
      <c r="C191" s="159"/>
      <c r="D191" s="30">
        <f t="shared" ref="D191:M191" ca="1" si="153">IF(C147="X","X",IF(D147="X","X",IF(C147&lt;&gt;0,ROUND((D147-C147)/ABS(C147)*100,3),"- ")))</f>
        <v>4.2439999999999998</v>
      </c>
      <c r="E191" s="30">
        <f t="shared" ca="1" si="153"/>
        <v>5.0709999999999997</v>
      </c>
      <c r="F191" s="30">
        <f t="shared" ca="1" si="153"/>
        <v>3.0710000000000002</v>
      </c>
      <c r="G191" s="30">
        <f t="shared" ca="1" si="153"/>
        <v>9.5269999999999992</v>
      </c>
      <c r="H191" s="30">
        <f t="shared" ca="1" si="153"/>
        <v>9.3089999999999993</v>
      </c>
      <c r="I191" s="30">
        <f t="shared" ca="1" si="153"/>
        <v>-1.893</v>
      </c>
      <c r="J191" s="30">
        <f t="shared" ca="1" si="153"/>
        <v>-2.4790000000000001</v>
      </c>
      <c r="K191" s="30">
        <f t="shared" ca="1" si="153"/>
        <v>-1.649</v>
      </c>
      <c r="L191" s="30">
        <f t="shared" ca="1" si="153"/>
        <v>0.64800000000000002</v>
      </c>
      <c r="M191" s="30">
        <f t="shared" ca="1" si="153"/>
        <v>9.6829999999999998</v>
      </c>
      <c r="N191" s="30">
        <f t="shared" ca="1" si="139"/>
        <v>6.3520000000000003</v>
      </c>
      <c r="O191" s="30">
        <f t="shared" ca="1" si="140"/>
        <v>-3.0739999999999998</v>
      </c>
      <c r="P191" s="30"/>
    </row>
    <row r="192" spans="1:30" ht="16.5" customHeight="1">
      <c r="A192" s="18">
        <v>15</v>
      </c>
      <c r="B192" s="99" t="s">
        <v>65</v>
      </c>
      <c r="C192" s="159"/>
      <c r="D192" s="30">
        <f t="shared" ref="D192:M192" ca="1" si="154">IF(C148="X","X",IF(D148="X","X",IF(C148&lt;&gt;0,ROUND((D148-C148)/ABS(C148)*100,3),"- ")))</f>
        <v>-0.13</v>
      </c>
      <c r="E192" s="30">
        <f t="shared" ca="1" si="154"/>
        <v>-2.827</v>
      </c>
      <c r="F192" s="30">
        <f t="shared" ca="1" si="154"/>
        <v>3.4849999999999999</v>
      </c>
      <c r="G192" s="30">
        <f t="shared" ca="1" si="154"/>
        <v>2.6920000000000002</v>
      </c>
      <c r="H192" s="30">
        <f t="shared" ca="1" si="154"/>
        <v>1.8720000000000001</v>
      </c>
      <c r="I192" s="30">
        <f t="shared" ca="1" si="154"/>
        <v>2.6709999999999998</v>
      </c>
      <c r="J192" s="30">
        <f t="shared" ca="1" si="154"/>
        <v>3.2930000000000001</v>
      </c>
      <c r="K192" s="30">
        <f t="shared" ca="1" si="154"/>
        <v>4.5410000000000004</v>
      </c>
      <c r="L192" s="30">
        <f t="shared" ca="1" si="154"/>
        <v>-3.5550000000000002</v>
      </c>
      <c r="M192" s="30">
        <f t="shared" ca="1" si="154"/>
        <v>1.8680000000000001</v>
      </c>
      <c r="N192" s="30">
        <f t="shared" ca="1" si="139"/>
        <v>3.4319999999999999</v>
      </c>
      <c r="O192" s="30">
        <f t="shared" ca="1" si="140"/>
        <v>4.1420000000000003</v>
      </c>
      <c r="P192" s="30"/>
    </row>
    <row r="193" spans="1:16" ht="16.5" customHeight="1">
      <c r="A193" s="18">
        <v>16</v>
      </c>
      <c r="B193" s="99" t="s">
        <v>66</v>
      </c>
      <c r="C193" s="159"/>
      <c r="D193" s="30">
        <f t="shared" ref="D193:M193" ca="1" si="155">IF(C149="X","X",IF(D149="X","X",IF(C149&lt;&gt;0,ROUND((D149-C149)/ABS(C149)*100,3),"- ")))</f>
        <v>0.52400000000000002</v>
      </c>
      <c r="E193" s="30">
        <f t="shared" ca="1" si="155"/>
        <v>-1.8</v>
      </c>
      <c r="F193" s="30">
        <f t="shared" ca="1" si="155"/>
        <v>3.492</v>
      </c>
      <c r="G193" s="30">
        <f t="shared" ca="1" si="155"/>
        <v>2.6429999999999998</v>
      </c>
      <c r="H193" s="30">
        <f t="shared" ca="1" si="155"/>
        <v>0.75600000000000001</v>
      </c>
      <c r="I193" s="30">
        <f t="shared" ca="1" si="155"/>
        <v>2.875</v>
      </c>
      <c r="J193" s="30">
        <f t="shared" ca="1" si="155"/>
        <v>1.58</v>
      </c>
      <c r="K193" s="30">
        <f t="shared" ca="1" si="155"/>
        <v>1.01</v>
      </c>
      <c r="L193" s="30">
        <f t="shared" ca="1" si="155"/>
        <v>2.7719999999999998</v>
      </c>
      <c r="M193" s="30">
        <f t="shared" ca="1" si="155"/>
        <v>3.4649999999999999</v>
      </c>
      <c r="N193" s="30">
        <f t="shared" ca="1" si="139"/>
        <v>2.7130000000000001</v>
      </c>
      <c r="O193" s="30">
        <f t="shared" ca="1" si="140"/>
        <v>-0.40200000000000002</v>
      </c>
      <c r="P193" s="30"/>
    </row>
    <row r="194" spans="1:16" ht="16.5" customHeight="1">
      <c r="A194" s="18">
        <v>17</v>
      </c>
      <c r="B194" s="99" t="s">
        <v>67</v>
      </c>
      <c r="C194" s="159"/>
      <c r="D194" s="30">
        <f t="shared" ref="D194:M194" ca="1" si="156">IF(C150="X","X",IF(D150="X","X",IF(C150&lt;&gt;0,ROUND((D150-C150)/ABS(C150)*100,3),"- ")))</f>
        <v>5.0730000000000004</v>
      </c>
      <c r="E194" s="30">
        <f t="shared" ca="1" si="156"/>
        <v>3.5550000000000002</v>
      </c>
      <c r="F194" s="30">
        <f t="shared" ca="1" si="156"/>
        <v>0.85699999999999998</v>
      </c>
      <c r="G194" s="30">
        <f t="shared" ca="1" si="156"/>
        <v>7.1849999999999996</v>
      </c>
      <c r="H194" s="30">
        <f t="shared" ca="1" si="156"/>
        <v>3.3730000000000002</v>
      </c>
      <c r="I194" s="30">
        <f t="shared" ca="1" si="156"/>
        <v>2E-3</v>
      </c>
      <c r="J194" s="30">
        <f t="shared" ca="1" si="156"/>
        <v>2.6459999999999999</v>
      </c>
      <c r="K194" s="30">
        <f t="shared" ca="1" si="156"/>
        <v>3.2570000000000001</v>
      </c>
      <c r="L194" s="30">
        <f t="shared" ca="1" si="156"/>
        <v>0.44700000000000001</v>
      </c>
      <c r="M194" s="30">
        <f t="shared" ca="1" si="156"/>
        <v>3.2850000000000001</v>
      </c>
      <c r="N194" s="30">
        <f t="shared" ca="1" si="139"/>
        <v>0.71899999999999997</v>
      </c>
      <c r="O194" s="30">
        <f t="shared" ca="1" si="140"/>
        <v>1.601</v>
      </c>
      <c r="P194" s="30"/>
    </row>
    <row r="195" spans="1:16" ht="16.5" customHeight="1">
      <c r="A195" s="18">
        <v>18</v>
      </c>
      <c r="B195" s="99" t="s">
        <v>68</v>
      </c>
      <c r="C195" s="159"/>
      <c r="D195" s="30">
        <f t="shared" ref="D195:M195" ca="1" si="157">IF(C151="X","X",IF(D151="X","X",IF(C151&lt;&gt;0,ROUND((D151-C151)/ABS(C151)*100,3),"- ")))</f>
        <v>2.9740000000000002</v>
      </c>
      <c r="E195" s="30">
        <f t="shared" ca="1" si="157"/>
        <v>-1.9419999999999999</v>
      </c>
      <c r="F195" s="30">
        <f t="shared" ca="1" si="157"/>
        <v>-0.92900000000000005</v>
      </c>
      <c r="G195" s="30">
        <f t="shared" ca="1" si="157"/>
        <v>3.153</v>
      </c>
      <c r="H195" s="30">
        <f t="shared" ca="1" si="157"/>
        <v>2.0659999999999998</v>
      </c>
      <c r="I195" s="30">
        <f t="shared" ca="1" si="157"/>
        <v>1.2070000000000001</v>
      </c>
      <c r="J195" s="30">
        <f t="shared" ca="1" si="157"/>
        <v>-2.2029999999999998</v>
      </c>
      <c r="K195" s="30">
        <f t="shared" ca="1" si="157"/>
        <v>-2.081</v>
      </c>
      <c r="L195" s="30">
        <f t="shared" ca="1" si="157"/>
        <v>-8.9689999999999994</v>
      </c>
      <c r="M195" s="30">
        <f t="shared" ca="1" si="157"/>
        <v>11.195</v>
      </c>
      <c r="N195" s="30">
        <f t="shared" ca="1" si="139"/>
        <v>6.4640000000000004</v>
      </c>
      <c r="O195" s="30">
        <f t="shared" ca="1" si="140"/>
        <v>-3.4689999999999999</v>
      </c>
      <c r="P195" s="30"/>
    </row>
    <row r="196" spans="1:16" ht="15.75" customHeight="1">
      <c r="A196" s="33">
        <v>19</v>
      </c>
      <c r="B196" s="98" t="s">
        <v>70</v>
      </c>
      <c r="C196" s="160"/>
      <c r="D196" s="29">
        <f t="shared" ref="D196:M196" ca="1" si="158">IF(C152="X","X",IF(D152="X","X",IF(C152&lt;&gt;0,ROUND((D152-C152)/ABS(C152)*100,3),"- ")))</f>
        <v>0.46200000000000002</v>
      </c>
      <c r="E196" s="29">
        <f t="shared" ca="1" si="158"/>
        <v>3.5670000000000002</v>
      </c>
      <c r="F196" s="29">
        <f t="shared" ca="1" si="158"/>
        <v>1.8959999999999999</v>
      </c>
      <c r="G196" s="29">
        <f t="shared" ca="1" si="158"/>
        <v>5.3310000000000004</v>
      </c>
      <c r="H196" s="29">
        <f t="shared" ca="1" si="158"/>
        <v>4.0369999999999999</v>
      </c>
      <c r="I196" s="29">
        <f t="shared" ca="1" si="158"/>
        <v>1.8959999999999999</v>
      </c>
      <c r="J196" s="29">
        <f t="shared" ca="1" si="158"/>
        <v>0.65</v>
      </c>
      <c r="K196" s="29">
        <f t="shared" ca="1" si="158"/>
        <v>0.73499999999999999</v>
      </c>
      <c r="L196" s="29">
        <f t="shared" ca="1" si="158"/>
        <v>-6.2549999999999999</v>
      </c>
      <c r="M196" s="29">
        <f t="shared" ca="1" si="158"/>
        <v>4.6769999999999996</v>
      </c>
      <c r="N196" s="29">
        <f t="shared" ca="1" si="139"/>
        <v>0.85899999999999999</v>
      </c>
      <c r="O196" s="29">
        <f t="shared" ca="1" si="140"/>
        <v>4.6980000000000004</v>
      </c>
    </row>
    <row r="197" spans="1:16" ht="15.75" customHeight="1" thickBot="1">
      <c r="A197" s="60">
        <v>20</v>
      </c>
      <c r="B197" s="101" t="s">
        <v>100</v>
      </c>
      <c r="C197" s="161"/>
      <c r="D197" s="162">
        <f t="shared" ref="D197:M197" ca="1" si="159">IF(C153="X","X",IF(D153="X","X",IF(C153&lt;&gt;0,ROUND((D153-C153)/ABS(C153)*100,3),"- ")))</f>
        <v>-5.1509999999999998</v>
      </c>
      <c r="E197" s="162">
        <f t="shared" ca="1" si="159"/>
        <v>-45.488</v>
      </c>
      <c r="F197" s="162">
        <f t="shared" ca="1" si="159"/>
        <v>-246.15</v>
      </c>
      <c r="G197" s="162">
        <f t="shared" ca="1" si="159"/>
        <v>-447.74400000000003</v>
      </c>
      <c r="H197" s="162">
        <f t="shared" ca="1" si="159"/>
        <v>-40.594999999999999</v>
      </c>
      <c r="I197" s="162">
        <f t="shared" ca="1" si="159"/>
        <v>-5.49</v>
      </c>
      <c r="J197" s="162">
        <f t="shared" ca="1" si="159"/>
        <v>-5.37</v>
      </c>
      <c r="K197" s="162">
        <f t="shared" ca="1" si="159"/>
        <v>-27.442</v>
      </c>
      <c r="L197" s="162">
        <f t="shared" ca="1" si="159"/>
        <v>12.574</v>
      </c>
      <c r="M197" s="162">
        <f t="shared" ca="1" si="159"/>
        <v>-22.917000000000002</v>
      </c>
      <c r="N197" s="162">
        <f t="shared" ca="1" si="139"/>
        <v>13.448</v>
      </c>
      <c r="O197" s="162">
        <f t="shared" ca="1" si="140"/>
        <v>-5.6529999999999996</v>
      </c>
    </row>
    <row r="198" spans="1:16" ht="15.75" customHeight="1" thickTop="1">
      <c r="A198" s="18">
        <v>21</v>
      </c>
      <c r="B198" s="99" t="s">
        <v>119</v>
      </c>
      <c r="C198" s="159"/>
      <c r="D198" s="30">
        <f t="shared" ref="D198:M198" ca="1" si="160">IF(C154="X","X",IF(D154="X","X",IF(C154&lt;&gt;0,ROUND((D154-C154)/ABS(C154)*100,3),"- ")))</f>
        <v>0.45600000000000002</v>
      </c>
      <c r="E198" s="30">
        <f t="shared" ca="1" si="160"/>
        <v>3.5179999999999998</v>
      </c>
      <c r="F198" s="30">
        <f t="shared" ca="1" si="160"/>
        <v>1.7649999999999999</v>
      </c>
      <c r="G198" s="30">
        <f t="shared" ca="1" si="160"/>
        <v>4.9939999999999998</v>
      </c>
      <c r="H198" s="30">
        <f t="shared" ca="1" si="160"/>
        <v>3.891</v>
      </c>
      <c r="I198" s="30">
        <f t="shared" ca="1" si="160"/>
        <v>1.8759999999999999</v>
      </c>
      <c r="J198" s="30">
        <f t="shared" ca="1" si="160"/>
        <v>0.624</v>
      </c>
      <c r="K198" s="30">
        <f t="shared" ca="1" si="160"/>
        <v>0.57899999999999996</v>
      </c>
      <c r="L198" s="30">
        <f t="shared" ca="1" si="160"/>
        <v>-6.2089999999999996</v>
      </c>
      <c r="M198" s="30">
        <f t="shared" ca="1" si="160"/>
        <v>4.5510000000000002</v>
      </c>
      <c r="N198" s="30">
        <f t="shared" ca="1" si="139"/>
        <v>0.97499999999999998</v>
      </c>
      <c r="O198" s="30">
        <f t="shared" ca="1" si="140"/>
        <v>4.6909999999999998</v>
      </c>
    </row>
    <row r="199" spans="1:16" ht="15.75" customHeight="1">
      <c r="A199" s="115" t="s">
        <v>146</v>
      </c>
      <c r="B199" s="116" t="s">
        <v>72</v>
      </c>
      <c r="C199" s="158"/>
      <c r="D199" s="31">
        <f t="shared" ref="D199:M199" ca="1" si="161">IF(C155="X","X",IF(D155="X","X",IF(C155&lt;&gt;0,ROUND((D155-C155)/ABS(C155)*100,3),"- ")))</f>
        <v>11.765000000000001</v>
      </c>
      <c r="E199" s="31">
        <f t="shared" ca="1" si="161"/>
        <v>-5.7889999999999997</v>
      </c>
      <c r="F199" s="31">
        <f t="shared" ca="1" si="161"/>
        <v>8.0549999999999997</v>
      </c>
      <c r="G199" s="31">
        <f t="shared" ca="1" si="161"/>
        <v>-0.51700000000000002</v>
      </c>
      <c r="H199" s="31">
        <f t="shared" ca="1" si="161"/>
        <v>30.254000000000001</v>
      </c>
      <c r="I199" s="31">
        <f t="shared" ca="1" si="161"/>
        <v>-16.238</v>
      </c>
      <c r="J199" s="31">
        <f t="shared" ca="1" si="161"/>
        <v>-6.7539999999999996</v>
      </c>
      <c r="K199" s="31">
        <f t="shared" ca="1" si="161"/>
        <v>-4.6580000000000004</v>
      </c>
      <c r="L199" s="31">
        <f t="shared" ca="1" si="161"/>
        <v>-19.349</v>
      </c>
      <c r="M199" s="31">
        <f t="shared" ca="1" si="161"/>
        <v>15.041</v>
      </c>
      <c r="N199" s="31">
        <f t="shared" ca="1" si="139"/>
        <v>-24.265999999999998</v>
      </c>
      <c r="O199" s="31">
        <f t="shared" ca="1" si="140"/>
        <v>8.19</v>
      </c>
    </row>
    <row r="200" spans="1:16" ht="15.75" customHeight="1">
      <c r="A200" s="118" t="s">
        <v>147</v>
      </c>
      <c r="B200" s="99" t="s">
        <v>73</v>
      </c>
      <c r="C200" s="159"/>
      <c r="D200" s="30">
        <f t="shared" ref="D200:M200" ca="1" si="162">IF(C156="X","X",IF(D156="X","X",IF(C156&lt;&gt;0,ROUND((D156-C156)/ABS(C156)*100,3),"- ")))</f>
        <v>-9.968</v>
      </c>
      <c r="E200" s="30">
        <f t="shared" ca="1" si="162"/>
        <v>14.925000000000001</v>
      </c>
      <c r="F200" s="30">
        <f t="shared" ca="1" si="162"/>
        <v>4.9870000000000001</v>
      </c>
      <c r="G200" s="30">
        <f t="shared" ca="1" si="162"/>
        <v>14.866</v>
      </c>
      <c r="H200" s="30">
        <f t="shared" ca="1" si="162"/>
        <v>5.3949999999999996</v>
      </c>
      <c r="I200" s="30">
        <f t="shared" ca="1" si="162"/>
        <v>6.24</v>
      </c>
      <c r="J200" s="30">
        <f t="shared" ca="1" si="162"/>
        <v>1.819</v>
      </c>
      <c r="K200" s="30">
        <f t="shared" ca="1" si="162"/>
        <v>1.7769999999999999</v>
      </c>
      <c r="L200" s="30">
        <f t="shared" ca="1" si="162"/>
        <v>-9.8849999999999998</v>
      </c>
      <c r="M200" s="30">
        <f t="shared" ca="1" si="162"/>
        <v>9.2710000000000008</v>
      </c>
      <c r="N200" s="30">
        <f t="shared" ca="1" si="139"/>
        <v>-12.236000000000001</v>
      </c>
      <c r="O200" s="30">
        <f t="shared" ca="1" si="140"/>
        <v>2.06</v>
      </c>
    </row>
    <row r="201" spans="1:16" ht="15.75" customHeight="1">
      <c r="A201" s="119" t="s">
        <v>148</v>
      </c>
      <c r="B201" s="100" t="s">
        <v>74</v>
      </c>
      <c r="C201" s="163"/>
      <c r="D201" s="32">
        <f t="shared" ref="D201:M201" ca="1" si="163">IF(C157="X","X",IF(D157="X","X",IF(C157&lt;&gt;0,ROUND((D157-C157)/ABS(C157)*100,3),"- ")))</f>
        <v>1.766</v>
      </c>
      <c r="E201" s="32">
        <f t="shared" ca="1" si="163"/>
        <v>2.3010000000000002</v>
      </c>
      <c r="F201" s="32">
        <f t="shared" ca="1" si="163"/>
        <v>1.357</v>
      </c>
      <c r="G201" s="32">
        <f t="shared" ca="1" si="163"/>
        <v>4.0339999999999998</v>
      </c>
      <c r="H201" s="32">
        <f t="shared" ca="1" si="163"/>
        <v>3.3769999999999998</v>
      </c>
      <c r="I201" s="32">
        <f t="shared" ca="1" si="163"/>
        <v>1.56</v>
      </c>
      <c r="J201" s="32">
        <f t="shared" ca="1" si="163"/>
        <v>0.57699999999999996</v>
      </c>
      <c r="K201" s="32">
        <f t="shared" ca="1" si="163"/>
        <v>0.64</v>
      </c>
      <c r="L201" s="32">
        <f t="shared" ca="1" si="163"/>
        <v>-5.4130000000000003</v>
      </c>
      <c r="M201" s="32">
        <f t="shared" ca="1" si="163"/>
        <v>3.7669999999999999</v>
      </c>
      <c r="N201" s="32">
        <f t="shared" ca="1" si="139"/>
        <v>3.548</v>
      </c>
      <c r="O201" s="32">
        <f t="shared" ca="1" si="140"/>
        <v>5.0579999999999998</v>
      </c>
    </row>
    <row r="202" spans="1:16" ht="15.75" customHeight="1">
      <c r="A202" s="115"/>
      <c r="B202" s="276" t="s">
        <v>279</v>
      </c>
      <c r="C202" s="278"/>
      <c r="D202" s="31">
        <f t="shared" ref="D202:M202" ca="1" si="164">IF(C158="X","X",IF(D158="X","X",IF(C158&lt;&gt;0,ROUND((D158-C158)/ABS(C158)*100,3),"- ")))</f>
        <v>-1.6240000000000001</v>
      </c>
      <c r="E202" s="31">
        <f t="shared" ca="1" si="164"/>
        <v>2.4079999999999999</v>
      </c>
      <c r="F202" s="31">
        <f t="shared" ca="1" si="164"/>
        <v>-0.42</v>
      </c>
      <c r="G202" s="31">
        <f t="shared" ca="1" si="164"/>
        <v>3.3050000000000002</v>
      </c>
      <c r="H202" s="31">
        <f t="shared" ca="1" si="164"/>
        <v>1.0609999999999999</v>
      </c>
      <c r="I202" s="31">
        <f t="shared" ca="1" si="164"/>
        <v>0.58099999999999996</v>
      </c>
      <c r="J202" s="31">
        <f t="shared" ca="1" si="164"/>
        <v>-0.65800000000000003</v>
      </c>
      <c r="K202" s="31">
        <f t="shared" ca="1" si="164"/>
        <v>-2.15</v>
      </c>
      <c r="L202" s="31">
        <f t="shared" ca="1" si="164"/>
        <v>-5.2869999999999999</v>
      </c>
      <c r="M202" s="31">
        <f t="shared" ca="1" si="164"/>
        <v>3.105</v>
      </c>
      <c r="N202" s="31">
        <f t="shared" ca="1" si="139"/>
        <v>1.252</v>
      </c>
      <c r="O202" s="31">
        <f t="shared" ca="1" si="140"/>
        <v>2.556</v>
      </c>
    </row>
    <row r="203" spans="1:16" ht="15.75" customHeight="1">
      <c r="A203" s="119"/>
      <c r="B203" s="277" t="s">
        <v>280</v>
      </c>
      <c r="C203" s="279"/>
      <c r="D203" s="32">
        <f t="shared" ref="D203:M203" ca="1" si="165">IF(C159="X","X",IF(D159="X","X",IF(C159&lt;&gt;0,ROUND((D159-C159)/ABS(C159)*100,3),"- ")))</f>
        <v>0.79900000000000004</v>
      </c>
      <c r="E203" s="32">
        <f t="shared" ca="1" si="165"/>
        <v>4.1550000000000002</v>
      </c>
      <c r="F203" s="32">
        <f t="shared" ca="1" si="165"/>
        <v>-0.60499999999999998</v>
      </c>
      <c r="G203" s="32">
        <f t="shared" ca="1" si="165"/>
        <v>3.7909999999999999</v>
      </c>
      <c r="H203" s="32">
        <f t="shared" ca="1" si="165"/>
        <v>2.7850000000000001</v>
      </c>
      <c r="I203" s="32">
        <f t="shared" ca="1" si="165"/>
        <v>1.7010000000000001</v>
      </c>
      <c r="J203" s="32">
        <f t="shared" ca="1" si="165"/>
        <v>0.17799999999999999</v>
      </c>
      <c r="K203" s="32">
        <f t="shared" ca="1" si="165"/>
        <v>-0.23599999999999999</v>
      </c>
      <c r="L203" s="32">
        <f t="shared" ca="1" si="165"/>
        <v>-6.7050000000000001</v>
      </c>
      <c r="M203" s="32">
        <f t="shared" ca="1" si="165"/>
        <v>4.1340000000000003</v>
      </c>
      <c r="N203" s="32">
        <f t="shared" ca="1" si="139"/>
        <v>1.518</v>
      </c>
      <c r="O203" s="32">
        <f t="shared" ca="1" si="140"/>
        <v>2.532</v>
      </c>
    </row>
    <row r="204" spans="1:16" ht="15.75" customHeight="1">
      <c r="B204" s="25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</row>
    <row r="205" spans="1:16" ht="15.75" customHeight="1">
      <c r="A205" s="194" t="s">
        <v>246</v>
      </c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6" ht="15.75" customHeight="1">
      <c r="A206" s="198"/>
      <c r="B206" s="193" t="str">
        <f>B$130</f>
        <v>沖 縄 県</v>
      </c>
      <c r="C206" s="195" t="s">
        <v>245</v>
      </c>
      <c r="D206" s="106"/>
      <c r="E206" s="106"/>
      <c r="F206" s="106"/>
      <c r="G206" s="106"/>
      <c r="H206" s="106"/>
      <c r="I206" s="106"/>
      <c r="J206" s="106"/>
      <c r="K206" s="106"/>
      <c r="L206" s="106"/>
      <c r="M206" s="106"/>
      <c r="N206" s="106"/>
      <c r="O206" s="106"/>
    </row>
    <row r="207" spans="1:16" ht="15.75" customHeight="1">
      <c r="A207" s="34" t="s">
        <v>271</v>
      </c>
      <c r="B207" s="96"/>
      <c r="C207" s="97"/>
      <c r="D207" s="97"/>
      <c r="E207" s="97"/>
      <c r="F207" s="2"/>
      <c r="G207" s="2"/>
      <c r="H207" s="1"/>
      <c r="I207" s="2"/>
      <c r="J207" s="2"/>
      <c r="K207" s="2"/>
      <c r="L207" s="2"/>
      <c r="M207" s="2"/>
      <c r="N207" s="2"/>
      <c r="O207" s="2"/>
    </row>
    <row r="208" spans="1:16" ht="15.75" customHeight="1">
      <c r="A208" s="6"/>
      <c r="B208" s="7"/>
      <c r="C208" s="27">
        <f>C$4</f>
        <v>23</v>
      </c>
      <c r="D208" s="27">
        <f t="shared" ref="D208:O208" si="166">D$4</f>
        <v>24</v>
      </c>
      <c r="E208" s="27">
        <f t="shared" si="166"/>
        <v>25</v>
      </c>
      <c r="F208" s="27">
        <f t="shared" si="166"/>
        <v>26</v>
      </c>
      <c r="G208" s="27">
        <f t="shared" si="166"/>
        <v>27</v>
      </c>
      <c r="H208" s="27">
        <f t="shared" si="166"/>
        <v>28</v>
      </c>
      <c r="I208" s="27">
        <f t="shared" si="166"/>
        <v>29</v>
      </c>
      <c r="J208" s="27">
        <f t="shared" si="166"/>
        <v>30</v>
      </c>
      <c r="K208" s="27">
        <f t="shared" si="166"/>
        <v>1</v>
      </c>
      <c r="L208" s="27">
        <f t="shared" si="166"/>
        <v>2</v>
      </c>
      <c r="M208" s="27">
        <f t="shared" si="166"/>
        <v>3</v>
      </c>
      <c r="N208" s="27">
        <f t="shared" si="166"/>
        <v>4</v>
      </c>
      <c r="O208" s="27">
        <f t="shared" si="166"/>
        <v>5</v>
      </c>
    </row>
    <row r="209" spans="1:15" ht="15.75" customHeight="1">
      <c r="A209" s="12"/>
      <c r="B209" s="13"/>
      <c r="C209" s="28">
        <f>C$5</f>
        <v>2011</v>
      </c>
      <c r="D209" s="28">
        <f t="shared" ref="D209:O209" si="167">D$5</f>
        <v>2012</v>
      </c>
      <c r="E209" s="28">
        <f t="shared" si="167"/>
        <v>2013</v>
      </c>
      <c r="F209" s="28">
        <f t="shared" si="167"/>
        <v>2014</v>
      </c>
      <c r="G209" s="28">
        <f t="shared" si="167"/>
        <v>2015</v>
      </c>
      <c r="H209" s="28">
        <f t="shared" si="167"/>
        <v>2016</v>
      </c>
      <c r="I209" s="28">
        <f t="shared" si="167"/>
        <v>2017</v>
      </c>
      <c r="J209" s="28">
        <f t="shared" si="167"/>
        <v>2018</v>
      </c>
      <c r="K209" s="28">
        <f t="shared" si="167"/>
        <v>2019</v>
      </c>
      <c r="L209" s="28">
        <f t="shared" si="167"/>
        <v>2020</v>
      </c>
      <c r="M209" s="28">
        <f t="shared" si="167"/>
        <v>2021</v>
      </c>
      <c r="N209" s="28">
        <f t="shared" si="167"/>
        <v>2022</v>
      </c>
      <c r="O209" s="28">
        <f t="shared" si="167"/>
        <v>2023</v>
      </c>
    </row>
    <row r="210" spans="1:15" ht="15.75" customHeight="1">
      <c r="A210" s="114" t="s">
        <v>159</v>
      </c>
      <c r="B210" s="23" t="s">
        <v>51</v>
      </c>
      <c r="C210" s="52">
        <f t="shared" ref="C210:M210" ca="1" si="168">IF(C134="X","X",IF(C134=0,"-",C134/C$154*100))</f>
        <v>1.1956315801920823</v>
      </c>
      <c r="D210" s="31">
        <f t="shared" ca="1" si="168"/>
        <v>1.3300850298973532</v>
      </c>
      <c r="E210" s="31">
        <f t="shared" ca="1" si="168"/>
        <v>1.2033707566570859</v>
      </c>
      <c r="F210" s="31">
        <f t="shared" ca="1" si="168"/>
        <v>1.2694840707457959</v>
      </c>
      <c r="G210" s="31">
        <f t="shared" ca="1" si="168"/>
        <v>1.158399129090103</v>
      </c>
      <c r="H210" s="31">
        <f t="shared" ca="1" si="168"/>
        <v>1.5312779402976553</v>
      </c>
      <c r="I210" s="31">
        <f t="shared" ca="1" si="168"/>
        <v>1.2061663162803982</v>
      </c>
      <c r="J210" s="31">
        <f t="shared" ca="1" si="168"/>
        <v>1.1017460686732519</v>
      </c>
      <c r="K210" s="31">
        <f t="shared" ca="1" si="168"/>
        <v>1.0480259844179225</v>
      </c>
      <c r="L210" s="31">
        <f t="shared" ca="1" si="168"/>
        <v>0.89518784757383285</v>
      </c>
      <c r="M210" s="31">
        <f t="shared" ca="1" si="168"/>
        <v>1.0254777954686358</v>
      </c>
      <c r="N210" s="31">
        <f t="shared" ref="N210:O210" ca="1" si="169">IF(N134="X","X",IF(N134=0,"-",N134/N$154*100))</f>
        <v>0.72662095662777526</v>
      </c>
      <c r="O210" s="31">
        <f t="shared" ca="1" si="169"/>
        <v>0.73821441494219209</v>
      </c>
    </row>
    <row r="211" spans="1:15" ht="15.75" customHeight="1">
      <c r="A211" s="114" t="s">
        <v>3</v>
      </c>
      <c r="B211" s="99" t="s">
        <v>52</v>
      </c>
      <c r="C211" s="53">
        <f t="shared" ref="C211:M211" ca="1" si="170">IF(C135="X","X",IF(C135=0,"-",C135/C$154*100))</f>
        <v>8.370351100355727E-3</v>
      </c>
      <c r="D211" s="30">
        <f t="shared" ca="1" si="170"/>
        <v>7.7504308366629767E-3</v>
      </c>
      <c r="E211" s="30">
        <f t="shared" ca="1" si="170"/>
        <v>8.1514295409850814E-3</v>
      </c>
      <c r="F211" s="30">
        <f t="shared" ca="1" si="170"/>
        <v>9.0646942963236009E-3</v>
      </c>
      <c r="G211" s="30">
        <f t="shared" ca="1" si="170"/>
        <v>8.3704543052116366E-3</v>
      </c>
      <c r="H211" s="30">
        <f t="shared" ca="1" si="170"/>
        <v>8.1490136931053822E-3</v>
      </c>
      <c r="I211" s="30">
        <f t="shared" ca="1" si="170"/>
        <v>7.3888419899529826E-3</v>
      </c>
      <c r="J211" s="30">
        <f t="shared" ca="1" si="170"/>
        <v>7.2307489169595642E-3</v>
      </c>
      <c r="K211" s="30">
        <f t="shared" ca="1" si="170"/>
        <v>8.7073162890221722E-3</v>
      </c>
      <c r="L211" s="30">
        <f t="shared" ca="1" si="170"/>
        <v>9.974038933506249E-3</v>
      </c>
      <c r="M211" s="30">
        <f t="shared" ca="1" si="170"/>
        <v>9.676466764524206E-3</v>
      </c>
      <c r="N211" s="30">
        <f t="shared" ref="N211:O211" ca="1" si="171">IF(N135="X","X",IF(N135=0,"-",N135/N$154*100))</f>
        <v>8.117410221442951E-3</v>
      </c>
      <c r="O211" s="30">
        <f t="shared" ca="1" si="171"/>
        <v>7.602908489411927E-3</v>
      </c>
    </row>
    <row r="212" spans="1:15" ht="15.75" customHeight="1">
      <c r="A212" s="114" t="s">
        <v>5</v>
      </c>
      <c r="B212" s="99" t="s">
        <v>53</v>
      </c>
      <c r="C212" s="53">
        <f t="shared" ref="C212:G221" ca="1" si="172">IF(C136="X","X",IF(C136=0,"-",C136/C$154*100))</f>
        <v>0.19610536863690561</v>
      </c>
      <c r="D212" s="30">
        <f t="shared" ca="1" si="172"/>
        <v>0.21989532950573148</v>
      </c>
      <c r="E212" s="30">
        <f t="shared" ca="1" si="172"/>
        <v>0.20616217409613677</v>
      </c>
      <c r="F212" s="30">
        <f t="shared" ca="1" si="172"/>
        <v>0.22676801714708711</v>
      </c>
      <c r="G212" s="30">
        <f t="shared" ca="1" si="172"/>
        <v>0.25953191462901909</v>
      </c>
      <c r="H212" s="30">
        <f t="shared" ref="H212:K212" ca="1" si="173">IF(H136="X","X",IF(H136=0,"-",H136/H$154*100))</f>
        <v>0.24879813557933042</v>
      </c>
      <c r="I212" s="30">
        <f t="shared" ca="1" si="173"/>
        <v>0.25671141849497198</v>
      </c>
      <c r="J212" s="30">
        <f t="shared" ca="1" si="173"/>
        <v>0.2534804154491912</v>
      </c>
      <c r="K212" s="30">
        <f t="shared" ca="1" si="173"/>
        <v>0.2347849694752748</v>
      </c>
      <c r="L212" s="30">
        <f t="shared" ref="L212" ca="1" si="174">IF(L136="X","X",IF(L136=0,"-",L136/L$154*100))</f>
        <v>0.20540807149695803</v>
      </c>
      <c r="M212" s="30">
        <f t="shared" ref="M212" ca="1" si="175">IF(M136="X","X",IF(M136=0,"-",M136/M$154*100))</f>
        <v>0.18683549710514266</v>
      </c>
      <c r="N212" s="30">
        <f t="shared" ref="N212:O212" ca="1" si="176">IF(N136="X","X",IF(N136=0,"-",N136/N$154*100))</f>
        <v>0.18178489223686964</v>
      </c>
      <c r="O212" s="30">
        <f t="shared" ca="1" si="176"/>
        <v>0.20133707807088583</v>
      </c>
    </row>
    <row r="213" spans="1:15" ht="15.75" customHeight="1">
      <c r="A213" s="114" t="s">
        <v>7</v>
      </c>
      <c r="B213" s="23" t="s">
        <v>54</v>
      </c>
      <c r="C213" s="53">
        <f t="shared" ca="1" si="172"/>
        <v>8.5324436137276943E-2</v>
      </c>
      <c r="D213" s="30">
        <f t="shared" ca="1" si="172"/>
        <v>8.4725699555738956E-2</v>
      </c>
      <c r="E213" s="30">
        <f t="shared" ca="1" si="172"/>
        <v>9.93503387315047E-2</v>
      </c>
      <c r="F213" s="30">
        <f t="shared" ca="1" si="172"/>
        <v>0.11317057394329771</v>
      </c>
      <c r="G213" s="30">
        <f t="shared" ca="1" si="172"/>
        <v>0.13607967141901203</v>
      </c>
      <c r="H213" s="30">
        <f t="shared" ref="H213:K213" ca="1" si="177">IF(H137="X","X",IF(H137=0,"-",H137/H$154*100))</f>
        <v>0.14127259049318566</v>
      </c>
      <c r="I213" s="30">
        <f t="shared" ca="1" si="177"/>
        <v>0.15977523459008422</v>
      </c>
      <c r="J213" s="30">
        <f t="shared" ca="1" si="177"/>
        <v>0.1706411832918501</v>
      </c>
      <c r="K213" s="30">
        <f t="shared" ca="1" si="177"/>
        <v>0.18146940204403134</v>
      </c>
      <c r="L213" s="30">
        <f t="shared" ref="L213" ca="1" si="178">IF(L137="X","X",IF(L137=0,"-",L137/L$154*100))</f>
        <v>0.20659829094009721</v>
      </c>
      <c r="M213" s="30">
        <f t="shared" ref="M213" ca="1" si="179">IF(M137="X","X",IF(M137=0,"-",M137/M$154*100))</f>
        <v>0.19935798350629164</v>
      </c>
      <c r="N213" s="30">
        <f t="shared" ref="N213:O213" ca="1" si="180">IF(N137="X","X",IF(N137=0,"-",N137/N$154*100))</f>
        <v>0.24598007807144764</v>
      </c>
      <c r="O213" s="30">
        <f t="shared" ca="1" si="180"/>
        <v>0.23360097868601065</v>
      </c>
    </row>
    <row r="214" spans="1:15" ht="15.75" customHeight="1">
      <c r="A214" s="114" t="s">
        <v>9</v>
      </c>
      <c r="B214" s="99" t="s">
        <v>55</v>
      </c>
      <c r="C214" s="53">
        <f t="shared" ca="1" si="172"/>
        <v>5.4352808438801965</v>
      </c>
      <c r="D214" s="30">
        <f t="shared" ca="1" si="172"/>
        <v>4.3172544958450549</v>
      </c>
      <c r="E214" s="30">
        <f t="shared" ca="1" si="172"/>
        <v>4.3973257178368614</v>
      </c>
      <c r="F214" s="30">
        <f t="shared" ca="1" si="172"/>
        <v>4.1731492204362901</v>
      </c>
      <c r="G214" s="30">
        <f t="shared" ca="1" si="172"/>
        <v>4.4992865981373589</v>
      </c>
      <c r="H214" s="30">
        <f t="shared" ref="H214:K214" ca="1" si="181">IF(H138="X","X",IF(H138=0,"-",H138/H$154*100))</f>
        <v>4.4255129504862243</v>
      </c>
      <c r="I214" s="30">
        <f t="shared" ca="1" si="181"/>
        <v>4.3345161506076471</v>
      </c>
      <c r="J214" s="30">
        <f t="shared" ca="1" si="181"/>
        <v>4.3887053007228056</v>
      </c>
      <c r="K214" s="30">
        <f t="shared" ca="1" si="181"/>
        <v>4.204026263052044</v>
      </c>
      <c r="L214" s="30">
        <f t="shared" ref="L214" ca="1" si="182">IF(L138="X","X",IF(L138=0,"-",L138/L$154*100))</f>
        <v>4.9206766349925468</v>
      </c>
      <c r="M214" s="30">
        <f t="shared" ref="M214" ca="1" si="183">IF(M138="X","X",IF(M138=0,"-",M138/M$154*100))</f>
        <v>4.2004973020872249</v>
      </c>
      <c r="N214" s="30">
        <f t="shared" ref="N214:O214" ca="1" si="184">IF(N138="X","X",IF(N138=0,"-",N138/N$154*100))</f>
        <v>4.0345558153126824</v>
      </c>
      <c r="O214" s="30">
        <f t="shared" ca="1" si="184"/>
        <v>4.288320381825387</v>
      </c>
    </row>
    <row r="215" spans="1:15" ht="15.75" customHeight="1">
      <c r="A215" s="114" t="s">
        <v>11</v>
      </c>
      <c r="B215" s="99" t="s">
        <v>57</v>
      </c>
      <c r="C215" s="53">
        <f t="shared" ca="1" si="172"/>
        <v>6.7751747609733304</v>
      </c>
      <c r="D215" s="30">
        <f t="shared" ca="1" si="172"/>
        <v>6.6179156631445855</v>
      </c>
      <c r="E215" s="30">
        <f t="shared" ca="1" si="172"/>
        <v>7.7375975616237849</v>
      </c>
      <c r="F215" s="30">
        <f t="shared" ca="1" si="172"/>
        <v>8.3353002799257947</v>
      </c>
      <c r="G215" s="30">
        <f t="shared" ca="1" si="172"/>
        <v>9.173037379579057</v>
      </c>
      <c r="H215" s="30">
        <f t="shared" ref="H215:K215" ca="1" si="185">IF(H139="X","X",IF(H139=0,"-",H139/H$154*100))</f>
        <v>9.4414610767195111</v>
      </c>
      <c r="I215" s="30">
        <f t="shared" ca="1" si="185"/>
        <v>10.11403672096298</v>
      </c>
      <c r="J215" s="30">
        <f t="shared" ca="1" si="185"/>
        <v>10.222482509222573</v>
      </c>
      <c r="K215" s="30">
        <f t="shared" ca="1" si="185"/>
        <v>10.572423438130722</v>
      </c>
      <c r="L215" s="30">
        <f t="shared" ref="L215" ca="1" si="186">IF(L139="X","X",IF(L139=0,"-",L139/L$154*100))</f>
        <v>9.2443630016953477</v>
      </c>
      <c r="M215" s="30">
        <f t="shared" ref="M215" ca="1" si="187">IF(M139="X","X",IF(M139=0,"-",M139/M$154*100))</f>
        <v>10.620616702856653</v>
      </c>
      <c r="N215" s="30">
        <f t="shared" ref="N215:O215" ca="1" si="188">IF(N139="X","X",IF(N139=0,"-",N139/N$154*100))</f>
        <v>8.7747626108477466</v>
      </c>
      <c r="O215" s="30">
        <f t="shared" ca="1" si="188"/>
        <v>8.2053259127797791</v>
      </c>
    </row>
    <row r="216" spans="1:15" ht="15.75" customHeight="1">
      <c r="A216" s="114" t="s">
        <v>13</v>
      </c>
      <c r="B216" s="99" t="s">
        <v>56</v>
      </c>
      <c r="C216" s="53">
        <f t="shared" ca="1" si="172"/>
        <v>3.7724773821155626</v>
      </c>
      <c r="D216" s="30">
        <f t="shared" ca="1" si="172"/>
        <v>3.6778571778115485</v>
      </c>
      <c r="E216" s="30">
        <f t="shared" ca="1" si="172"/>
        <v>3.7724509278831015</v>
      </c>
      <c r="F216" s="30">
        <f t="shared" ca="1" si="172"/>
        <v>4.0236445394381999</v>
      </c>
      <c r="G216" s="30">
        <f t="shared" ca="1" si="172"/>
        <v>3.9875887686679068</v>
      </c>
      <c r="H216" s="30">
        <f t="shared" ref="H216:K216" ca="1" si="189">IF(H140="X","X",IF(H140=0,"-",H140/H$154*100))</f>
        <v>3.8644280359219572</v>
      </c>
      <c r="I216" s="30">
        <f t="shared" ca="1" si="189"/>
        <v>3.8930610865167874</v>
      </c>
      <c r="J216" s="30">
        <f t="shared" ca="1" si="189"/>
        <v>3.7833658642182124</v>
      </c>
      <c r="K216" s="30">
        <f t="shared" ca="1" si="189"/>
        <v>4.0713178322265371</v>
      </c>
      <c r="L216" s="30">
        <f t="shared" ref="L216" ca="1" si="190">IF(L140="X","X",IF(L140=0,"-",L140/L$154*100))</f>
        <v>4.4328294896386637</v>
      </c>
      <c r="M216" s="30">
        <f t="shared" ref="M216" ca="1" si="191">IF(M140="X","X",IF(M140=0,"-",M140/M$154*100))</f>
        <v>4.1510676330383269</v>
      </c>
      <c r="N216" s="30">
        <f t="shared" ref="N216:O216" ca="1" si="192">IF(N140="X","X",IF(N140=0,"-",N140/N$154*100))</f>
        <v>1.9881792468486408</v>
      </c>
      <c r="O216" s="30">
        <f t="shared" ca="1" si="192"/>
        <v>2.8828592105036441</v>
      </c>
    </row>
    <row r="217" spans="1:15" ht="15.75" customHeight="1">
      <c r="A217" s="114" t="s">
        <v>15</v>
      </c>
      <c r="B217" s="99" t="s">
        <v>58</v>
      </c>
      <c r="C217" s="53">
        <f t="shared" ca="1" si="172"/>
        <v>10.082021469020534</v>
      </c>
      <c r="D217" s="30">
        <f t="shared" ca="1" si="172"/>
        <v>10.425123034783034</v>
      </c>
      <c r="E217" s="30">
        <f t="shared" ca="1" si="172"/>
        <v>10.586356091238772</v>
      </c>
      <c r="F217" s="30">
        <f t="shared" ca="1" si="172"/>
        <v>10.293650897279186</v>
      </c>
      <c r="G217" s="30">
        <f t="shared" ca="1" si="172"/>
        <v>9.8977513133242816</v>
      </c>
      <c r="H217" s="30">
        <f t="shared" ref="H217:K217" ca="1" si="193">IF(H141="X","X",IF(H141=0,"-",H141/H$154*100))</f>
        <v>9.4862576322188996</v>
      </c>
      <c r="I217" s="30">
        <f t="shared" ca="1" si="193"/>
        <v>9.602331168349906</v>
      </c>
      <c r="J217" s="30">
        <f t="shared" ca="1" si="193"/>
        <v>9.4458731286507422</v>
      </c>
      <c r="K217" s="30">
        <f t="shared" ca="1" si="193"/>
        <v>9.1692059284767637</v>
      </c>
      <c r="L217" s="30">
        <f t="shared" ref="L217" ca="1" si="194">IF(L141="X","X",IF(L141=0,"-",L141/L$154*100))</f>
        <v>9.1327204179288941</v>
      </c>
      <c r="M217" s="30">
        <f t="shared" ref="M217" ca="1" si="195">IF(M141="X","X",IF(M141=0,"-",M141/M$154*100))</f>
        <v>9.1866554009825361</v>
      </c>
      <c r="N217" s="30">
        <f t="shared" ref="N217:O217" ca="1" si="196">IF(N141="X","X",IF(N141=0,"-",N141/N$154*100))</f>
        <v>9.3339394332965337</v>
      </c>
      <c r="O217" s="30">
        <f t="shared" ca="1" si="196"/>
        <v>9.3281656529455343</v>
      </c>
    </row>
    <row r="218" spans="1:15" ht="15.75" customHeight="1">
      <c r="A218" s="114" t="s">
        <v>16</v>
      </c>
      <c r="B218" s="99" t="s">
        <v>59</v>
      </c>
      <c r="C218" s="53">
        <f t="shared" ca="1" si="172"/>
        <v>6.3697043246548288</v>
      </c>
      <c r="D218" s="30">
        <f t="shared" ca="1" si="172"/>
        <v>6.2981905521454538</v>
      </c>
      <c r="E218" s="30">
        <f t="shared" ca="1" si="172"/>
        <v>6.4084034850299885</v>
      </c>
      <c r="F218" s="30">
        <f t="shared" ca="1" si="172"/>
        <v>6.2163463808015296</v>
      </c>
      <c r="G218" s="30">
        <f t="shared" ca="1" si="172"/>
        <v>6.2836522157549171</v>
      </c>
      <c r="H218" s="30">
        <f t="shared" ref="H218:K218" ca="1" si="197">IF(H142="X","X",IF(H142=0,"-",H142/H$154*100))</f>
        <v>6.5007260448923176</v>
      </c>
      <c r="I218" s="30">
        <f t="shared" ca="1" si="197"/>
        <v>6.443770686497988</v>
      </c>
      <c r="J218" s="30">
        <f t="shared" ca="1" si="197"/>
        <v>6.4731370941012365</v>
      </c>
      <c r="K218" s="30">
        <f t="shared" ca="1" si="197"/>
        <v>6.3212883613098665</v>
      </c>
      <c r="L218" s="30">
        <f t="shared" ref="L218" ca="1" si="198">IF(L142="X","X",IF(L142=0,"-",L142/L$154*100))</f>
        <v>4.5615874289974592</v>
      </c>
      <c r="M218" s="30">
        <f t="shared" ref="M218" ca="1" si="199">IF(M142="X","X",IF(M142=0,"-",M142/M$154*100))</f>
        <v>4.570229405120422</v>
      </c>
      <c r="N218" s="30">
        <f t="shared" ref="N218:O218" ca="1" si="200">IF(N142="X","X",IF(N142=0,"-",N142/N$154*100))</f>
        <v>5.7128303785960126</v>
      </c>
      <c r="O218" s="30">
        <f t="shared" ca="1" si="200"/>
        <v>6.749228940158865</v>
      </c>
    </row>
    <row r="219" spans="1:15" ht="15.75" customHeight="1">
      <c r="A219" s="18">
        <v>10</v>
      </c>
      <c r="B219" s="99" t="s">
        <v>60</v>
      </c>
      <c r="C219" s="53">
        <f t="shared" ca="1" si="172"/>
        <v>4.2167171589274579</v>
      </c>
      <c r="D219" s="30">
        <f t="shared" ca="1" si="172"/>
        <v>4.1646794614905422</v>
      </c>
      <c r="E219" s="30">
        <f t="shared" ca="1" si="172"/>
        <v>4.2096639668995746</v>
      </c>
      <c r="F219" s="30">
        <f t="shared" ca="1" si="172"/>
        <v>4.1341534579925492</v>
      </c>
      <c r="G219" s="30">
        <f t="shared" ca="1" si="172"/>
        <v>4.0679929611653964</v>
      </c>
      <c r="H219" s="30">
        <f t="shared" ref="H219:K219" ca="1" si="201">IF(H143="X","X",IF(H143=0,"-",H143/H$154*100))</f>
        <v>4.4837760964106588</v>
      </c>
      <c r="I219" s="30">
        <f t="shared" ca="1" si="201"/>
        <v>4.6065023617179355</v>
      </c>
      <c r="J219" s="30">
        <f t="shared" ca="1" si="201"/>
        <v>4.6118480087595355</v>
      </c>
      <c r="K219" s="30">
        <f t="shared" ca="1" si="201"/>
        <v>4.305433008141117</v>
      </c>
      <c r="L219" s="30">
        <f t="shared" ref="L219" ca="1" si="202">IF(L143="X","X",IF(L143=0,"-",L143/L$154*100))</f>
        <v>2.6606403475821643</v>
      </c>
      <c r="M219" s="30">
        <f t="shared" ref="M219" ca="1" si="203">IF(M143="X","X",IF(M143=0,"-",M143/M$154*100))</f>
        <v>2.5018334058499136</v>
      </c>
      <c r="N219" s="30">
        <f t="shared" ref="N219:O219" ca="1" si="204">IF(N143="X","X",IF(N143=0,"-",N143/N$154*100))</f>
        <v>3.7397585341039465</v>
      </c>
      <c r="O219" s="30">
        <f t="shared" ca="1" si="204"/>
        <v>4.8039612660888746</v>
      </c>
    </row>
    <row r="220" spans="1:15" ht="15.75" customHeight="1">
      <c r="A220" s="18">
        <v>11</v>
      </c>
      <c r="B220" s="99" t="s">
        <v>61</v>
      </c>
      <c r="C220" s="53">
        <f t="shared" ca="1" si="172"/>
        <v>4.6795311434191902</v>
      </c>
      <c r="D220" s="30">
        <f t="shared" ca="1" si="172"/>
        <v>4.9227139204879862</v>
      </c>
      <c r="E220" s="30">
        <f t="shared" ca="1" si="172"/>
        <v>4.9162830298991373</v>
      </c>
      <c r="F220" s="30">
        <f t="shared" ca="1" si="172"/>
        <v>4.7435972121921894</v>
      </c>
      <c r="G220" s="30">
        <f t="shared" ca="1" si="172"/>
        <v>4.6685610997724671</v>
      </c>
      <c r="H220" s="30">
        <f t="shared" ref="H220:K220" ca="1" si="205">IF(H144="X","X",IF(H144=0,"-",H144/H$154*100))</f>
        <v>4.740147750365785</v>
      </c>
      <c r="I220" s="30">
        <f t="shared" ca="1" si="205"/>
        <v>4.5347831431365568</v>
      </c>
      <c r="J220" s="30">
        <f t="shared" ca="1" si="205"/>
        <v>4.5800057666345397</v>
      </c>
      <c r="K220" s="30">
        <f t="shared" ca="1" si="205"/>
        <v>4.2318226958208456</v>
      </c>
      <c r="L220" s="30">
        <f t="shared" ref="L220" ca="1" si="206">IF(L144="X","X",IF(L144=0,"-",L144/L$154*100))</f>
        <v>4.4924356793510736</v>
      </c>
      <c r="M220" s="30">
        <f t="shared" ref="M220" ca="1" si="207">IF(M144="X","X",IF(M144=0,"-",M144/M$154*100))</f>
        <v>4.0049416008154637</v>
      </c>
      <c r="N220" s="30">
        <f t="shared" ref="N220:O220" ca="1" si="208">IF(N144="X","X",IF(N144=0,"-",N144/N$154*100))</f>
        <v>3.8742595118009109</v>
      </c>
      <c r="O220" s="30">
        <f t="shared" ca="1" si="208"/>
        <v>3.7557937178007137</v>
      </c>
    </row>
    <row r="221" spans="1:15" ht="15.75" customHeight="1">
      <c r="A221" s="18">
        <v>12</v>
      </c>
      <c r="B221" s="99" t="s">
        <v>62</v>
      </c>
      <c r="C221" s="53">
        <f t="shared" ca="1" si="172"/>
        <v>3.824851864714931</v>
      </c>
      <c r="D221" s="30">
        <f t="shared" ca="1" si="172"/>
        <v>3.6688899557855112</v>
      </c>
      <c r="E221" s="30">
        <f t="shared" ca="1" si="172"/>
        <v>3.6893523420922447</v>
      </c>
      <c r="F221" s="30">
        <f t="shared" ca="1" si="172"/>
        <v>3.5788969899188547</v>
      </c>
      <c r="G221" s="30">
        <f t="shared" ca="1" si="172"/>
        <v>3.5277638403070375</v>
      </c>
      <c r="H221" s="30">
        <f t="shared" ref="H221:K221" ca="1" si="209">IF(H145="X","X",IF(H145=0,"-",H145/H$154*100))</f>
        <v>3.1835940557318874</v>
      </c>
      <c r="I221" s="30">
        <f t="shared" ca="1" si="209"/>
        <v>3.2070511696514274</v>
      </c>
      <c r="J221" s="30">
        <f t="shared" ca="1" si="209"/>
        <v>3.2816147654587575</v>
      </c>
      <c r="K221" s="30">
        <f t="shared" ca="1" si="209"/>
        <v>3.407708698742931</v>
      </c>
      <c r="L221" s="30">
        <f t="shared" ref="L221" ca="1" si="210">IF(L145="X","X",IF(L145=0,"-",L145/L$154*100))</f>
        <v>3.5756572510786961</v>
      </c>
      <c r="M221" s="30">
        <f t="shared" ref="M221" ca="1" si="211">IF(M145="X","X",IF(M145=0,"-",M145/M$154*100))</f>
        <v>3.5436132017971365</v>
      </c>
      <c r="N221" s="30">
        <f t="shared" ref="N221:O221" ca="1" si="212">IF(N145="X","X",IF(N145=0,"-",N145/N$154*100))</f>
        <v>3.9557718394412333</v>
      </c>
      <c r="O221" s="30">
        <f t="shared" ca="1" si="212"/>
        <v>3.9666936609404346</v>
      </c>
    </row>
    <row r="222" spans="1:15" ht="15.75" customHeight="1">
      <c r="A222" s="18">
        <v>13</v>
      </c>
      <c r="B222" s="99" t="s">
        <v>63</v>
      </c>
      <c r="C222" s="53">
        <f t="shared" ref="C222:G231" ca="1" si="213">IF(C146="X","X",IF(C146=0,"-",C146/C$154*100))</f>
        <v>12.167859818142828</v>
      </c>
      <c r="D222" s="30">
        <f t="shared" ca="1" si="213"/>
        <v>12.15849498801064</v>
      </c>
      <c r="E222" s="30">
        <f t="shared" ca="1" si="213"/>
        <v>11.783313027159847</v>
      </c>
      <c r="F222" s="30">
        <f t="shared" ca="1" si="213"/>
        <v>11.916632935625103</v>
      </c>
      <c r="G222" s="30">
        <f t="shared" ca="1" si="213"/>
        <v>11.478810553660113</v>
      </c>
      <c r="H222" s="30">
        <f t="shared" ref="H222:K222" ca="1" si="214">IF(H146="X","X",IF(H146=0,"-",H146/H$154*100))</f>
        <v>11.221606212034574</v>
      </c>
      <c r="I222" s="30">
        <f t="shared" ca="1" si="214"/>
        <v>11.431352008951571</v>
      </c>
      <c r="J222" s="30">
        <f t="shared" ca="1" si="214"/>
        <v>11.439651091663441</v>
      </c>
      <c r="K222" s="30">
        <f t="shared" ca="1" si="214"/>
        <v>11.812546215755688</v>
      </c>
      <c r="L222" s="30">
        <f t="shared" ref="L222" ca="1" si="215">IF(L146="X","X",IF(L146=0,"-",L146/L$154*100))</f>
        <v>13.027308870991162</v>
      </c>
      <c r="M222" s="30">
        <f t="shared" ref="M222" ca="1" si="216">IF(M146="X","X",IF(M146=0,"-",M146/M$154*100))</f>
        <v>12.953032251777566</v>
      </c>
      <c r="N222" s="30">
        <f t="shared" ref="N222:O222" ca="1" si="217">IF(N146="X","X",IF(N146=0,"-",N146/N$154*100))</f>
        <v>13.315100728041504</v>
      </c>
      <c r="O222" s="30">
        <f t="shared" ca="1" si="217"/>
        <v>12.690201940141636</v>
      </c>
    </row>
    <row r="223" spans="1:15" ht="15.75" customHeight="1">
      <c r="A223" s="18">
        <v>14</v>
      </c>
      <c r="B223" s="99" t="s">
        <v>64</v>
      </c>
      <c r="C223" s="53">
        <f t="shared" ca="1" si="213"/>
        <v>8.7086195749828015</v>
      </c>
      <c r="D223" s="30">
        <f t="shared" ca="1" si="213"/>
        <v>9.037055259513787</v>
      </c>
      <c r="E223" s="30">
        <f t="shared" ca="1" si="213"/>
        <v>9.1726324568970803</v>
      </c>
      <c r="F223" s="30">
        <f t="shared" ca="1" si="213"/>
        <v>9.2904076952977093</v>
      </c>
      <c r="G223" s="30">
        <f t="shared" ca="1" si="213"/>
        <v>9.6914794036601357</v>
      </c>
      <c r="H223" s="30">
        <f t="shared" ref="H223:K223" ca="1" si="218">IF(H147="X","X",IF(H147=0,"-",H147/H$154*100))</f>
        <v>10.196856230220225</v>
      </c>
      <c r="I223" s="30">
        <f t="shared" ca="1" si="218"/>
        <v>9.8196128337180646</v>
      </c>
      <c r="J223" s="30">
        <f t="shared" ca="1" si="218"/>
        <v>9.5168557290436269</v>
      </c>
      <c r="K223" s="30">
        <f t="shared" ca="1" si="218"/>
        <v>9.3060447529265513</v>
      </c>
      <c r="L223" s="30">
        <f t="shared" ref="L223" ca="1" si="219">IF(L147="X","X",IF(L147=0,"-",L147/L$154*100))</f>
        <v>9.9863219981594451</v>
      </c>
      <c r="M223" s="30">
        <f t="shared" ref="M223" ca="1" si="220">IF(M147="X","X",IF(M147=0,"-",M147/M$154*100))</f>
        <v>10.476494268457975</v>
      </c>
      <c r="N223" s="30">
        <f t="shared" ref="N223:O223" ca="1" si="221">IF(N147="X","X",IF(N147=0,"-",N147/N$154*100))</f>
        <v>11.034424132880201</v>
      </c>
      <c r="O223" s="30">
        <f t="shared" ca="1" si="221"/>
        <v>10.216025983424368</v>
      </c>
    </row>
    <row r="224" spans="1:15" ht="15.75" customHeight="1">
      <c r="A224" s="18">
        <v>15</v>
      </c>
      <c r="B224" s="99" t="s">
        <v>65</v>
      </c>
      <c r="C224" s="53">
        <f t="shared" ca="1" si="213"/>
        <v>9.9034008337932597</v>
      </c>
      <c r="D224" s="30">
        <f t="shared" ca="1" si="213"/>
        <v>9.8456659088173719</v>
      </c>
      <c r="E224" s="30">
        <f t="shared" ca="1" si="213"/>
        <v>9.2422134683080603</v>
      </c>
      <c r="F224" s="30">
        <f t="shared" ca="1" si="213"/>
        <v>9.3984307281586066</v>
      </c>
      <c r="G224" s="30">
        <f t="shared" ca="1" si="213"/>
        <v>9.1923850868159604</v>
      </c>
      <c r="H224" s="30">
        <f t="shared" ref="H224:K224" ca="1" si="222">IF(H148="X","X",IF(H148=0,"-",H148/H$154*100))</f>
        <v>9.0137529568949404</v>
      </c>
      <c r="I224" s="30">
        <f t="shared" ca="1" si="222"/>
        <v>9.0840954159353142</v>
      </c>
      <c r="J224" s="30">
        <f t="shared" ca="1" si="222"/>
        <v>9.3250836925503524</v>
      </c>
      <c r="K224" s="30">
        <f t="shared" ca="1" si="222"/>
        <v>9.6924040051868818</v>
      </c>
      <c r="L224" s="30">
        <f t="shared" ref="L224" ca="1" si="223">IF(L148="X","X",IF(L148=0,"-",L148/L$154*100))</f>
        <v>9.966588159792197</v>
      </c>
      <c r="M224" s="30">
        <f t="shared" ref="M224" ca="1" si="224">IF(M148="X","X",IF(M148=0,"-",M148/M$154*100))</f>
        <v>9.7108466817346333</v>
      </c>
      <c r="N224" s="30">
        <f t="shared" ref="N224:O224" ca="1" si="225">IF(N148="X","X",IF(N148=0,"-",N148/N$154*100))</f>
        <v>9.9471195820796439</v>
      </c>
      <c r="O224" s="30">
        <f t="shared" ca="1" si="225"/>
        <v>9.8949807881179233</v>
      </c>
    </row>
    <row r="225" spans="1:15" ht="15.75" customHeight="1">
      <c r="A225" s="18">
        <v>16</v>
      </c>
      <c r="B225" s="99" t="s">
        <v>66</v>
      </c>
      <c r="C225" s="53">
        <f t="shared" ca="1" si="213"/>
        <v>5.7189427422811416</v>
      </c>
      <c r="D225" s="30">
        <f t="shared" ca="1" si="213"/>
        <v>5.7228334834483334</v>
      </c>
      <c r="E225" s="30">
        <f t="shared" ca="1" si="213"/>
        <v>5.4288265212254032</v>
      </c>
      <c r="F225" s="30">
        <f t="shared" ca="1" si="213"/>
        <v>5.5209512455040626</v>
      </c>
      <c r="G225" s="30">
        <f t="shared" ca="1" si="213"/>
        <v>5.3973167671679212</v>
      </c>
      <c r="H225" s="30">
        <f t="shared" ref="H225:K225" ca="1" si="226">IF(H149="X","X",IF(H149=0,"-",H149/H$154*100))</f>
        <v>5.2344291684967414</v>
      </c>
      <c r="I225" s="30">
        <f t="shared" ca="1" si="226"/>
        <v>5.2857561203111363</v>
      </c>
      <c r="J225" s="30">
        <f t="shared" ca="1" si="226"/>
        <v>5.335978320328465</v>
      </c>
      <c r="K225" s="30">
        <f t="shared" ca="1" si="226"/>
        <v>5.3588396674966159</v>
      </c>
      <c r="L225" s="30">
        <f t="shared" ref="L225" ca="1" si="227">IF(L149="X","X",IF(L149=0,"-",L149/L$154*100))</f>
        <v>5.8719714271159598</v>
      </c>
      <c r="M225" s="30">
        <f t="shared" ref="M225" ca="1" si="228">IF(M149="X","X",IF(M149=0,"-",M149/M$154*100))</f>
        <v>5.8109801259033551</v>
      </c>
      <c r="N225" s="30">
        <f t="shared" ref="N225:O225" ca="1" si="229">IF(N149="X","X",IF(N149=0,"-",N149/N$154*100))</f>
        <v>5.9110304781695779</v>
      </c>
      <c r="O225" s="30">
        <f t="shared" ca="1" si="229"/>
        <v>5.6234384961317785</v>
      </c>
    </row>
    <row r="226" spans="1:15" ht="15.75" customHeight="1">
      <c r="A226" s="18">
        <v>17</v>
      </c>
      <c r="B226" s="99" t="s">
        <v>67</v>
      </c>
      <c r="C226" s="53">
        <f t="shared" ca="1" si="213"/>
        <v>10.858497753158613</v>
      </c>
      <c r="D226" s="30">
        <f t="shared" ca="1" si="213"/>
        <v>11.357555413596582</v>
      </c>
      <c r="E226" s="30">
        <f t="shared" ca="1" si="213"/>
        <v>11.361687361246826</v>
      </c>
      <c r="F226" s="30">
        <f t="shared" ca="1" si="213"/>
        <v>11.260384222510373</v>
      </c>
      <c r="G226" s="30">
        <f t="shared" ca="1" si="213"/>
        <v>11.495336222016974</v>
      </c>
      <c r="H226" s="30">
        <f t="shared" ref="H226:K226" ca="1" si="230">IF(H150="X","X",IF(H150=0,"-",H150/H$154*100))</f>
        <v>11.438038490968406</v>
      </c>
      <c r="I226" s="30">
        <f t="shared" ca="1" si="230"/>
        <v>11.227605255974794</v>
      </c>
      <c r="J226" s="30">
        <f t="shared" ca="1" si="230"/>
        <v>11.453214359818235</v>
      </c>
      <c r="K226" s="30">
        <f t="shared" ca="1" si="230"/>
        <v>11.75813665217531</v>
      </c>
      <c r="L226" s="30">
        <f t="shared" ref="L226" ca="1" si="231">IF(L150="X","X",IF(L150=0,"-",L150/L$154*100))</f>
        <v>12.592497904023562</v>
      </c>
      <c r="M226" s="30">
        <f t="shared" ref="M226" ca="1" si="232">IF(M150="X","X",IF(M150=0,"-",M150/M$154*100))</f>
        <v>12.439951831686855</v>
      </c>
      <c r="N226" s="30">
        <f t="shared" ref="N226:O226" ca="1" si="233">IF(N150="X","X",IF(N150=0,"-",N150/N$154*100))</f>
        <v>12.408386006306324</v>
      </c>
      <c r="O226" s="30">
        <f t="shared" ca="1" si="233"/>
        <v>12.042123989868532</v>
      </c>
    </row>
    <row r="227" spans="1:15" ht="15.75" customHeight="1">
      <c r="A227" s="18">
        <v>18</v>
      </c>
      <c r="B227" s="99" t="s">
        <v>68</v>
      </c>
      <c r="C227" s="54">
        <f t="shared" ca="1" si="213"/>
        <v>5.8946935428454355</v>
      </c>
      <c r="D227" s="32">
        <f t="shared" ca="1" si="213"/>
        <v>6.0424792385003308</v>
      </c>
      <c r="E227" s="32">
        <f t="shared" ca="1" si="213"/>
        <v>5.7237600627992258</v>
      </c>
      <c r="F227" s="32">
        <f t="shared" ca="1" si="213"/>
        <v>5.5722257766760643</v>
      </c>
      <c r="G227" s="32">
        <f t="shared" ca="1" si="213"/>
        <v>5.4744923558619725</v>
      </c>
      <c r="H227" s="32">
        <f t="shared" ref="H227:K227" ca="1" si="234">IF(H151="X","X",IF(H151=0,"-",H151/H$154*100))</f>
        <v>5.378302997824167</v>
      </c>
      <c r="I227" s="32">
        <f t="shared" ca="1" si="234"/>
        <v>5.3429688050773771</v>
      </c>
      <c r="J227" s="32">
        <f t="shared" ca="1" si="234"/>
        <v>5.1928678767018086</v>
      </c>
      <c r="K227" s="32">
        <f t="shared" ca="1" si="234"/>
        <v>5.0555124903103197</v>
      </c>
      <c r="L227" s="32">
        <f t="shared" ref="L227" ca="1" si="235">IF(L151="X","X",IF(L151=0,"-",L151/L$154*100))</f>
        <v>4.906727263118956</v>
      </c>
      <c r="M227" s="32">
        <f t="shared" ref="M227" ca="1" si="236">IF(M151="X","X",IF(M151=0,"-",M151/M$154*100))</f>
        <v>5.2185071420293578</v>
      </c>
      <c r="N227" s="32">
        <f t="shared" ref="N227:O227" ca="1" si="237">IF(N151="X","X",IF(N151=0,"-",N151/N$154*100))</f>
        <v>5.5022061317112945</v>
      </c>
      <c r="O227" s="32">
        <f t="shared" ca="1" si="237"/>
        <v>5.0733368368454608</v>
      </c>
    </row>
    <row r="228" spans="1:15" ht="15.75" customHeight="1">
      <c r="A228" s="33">
        <v>19</v>
      </c>
      <c r="B228" s="98" t="s">
        <v>70</v>
      </c>
      <c r="C228" s="51">
        <f t="shared" ca="1" si="213"/>
        <v>99.893204948976731</v>
      </c>
      <c r="D228" s="29">
        <f t="shared" ca="1" si="213"/>
        <v>99.899165043176254</v>
      </c>
      <c r="E228" s="29">
        <f t="shared" ca="1" si="213"/>
        <v>99.946900719165626</v>
      </c>
      <c r="F228" s="29">
        <f t="shared" ca="1" si="213"/>
        <v>100.07625893788901</v>
      </c>
      <c r="G228" s="29">
        <f t="shared" ca="1" si="213"/>
        <v>100.39783573533485</v>
      </c>
      <c r="H228" s="29">
        <f t="shared" ref="H228:K228" ca="1" si="238">IF(H152="X","X",IF(H152=0,"-",H152/H$154*100))</f>
        <v>100.53838737924958</v>
      </c>
      <c r="I228" s="29">
        <f t="shared" ca="1" si="238"/>
        <v>100.55748473876488</v>
      </c>
      <c r="J228" s="29">
        <f t="shared" ca="1" si="238"/>
        <v>100.58378192420558</v>
      </c>
      <c r="K228" s="29">
        <f t="shared" ca="1" si="238"/>
        <v>100.73969768197844</v>
      </c>
      <c r="L228" s="29">
        <f t="shared" ref="L228" ca="1" si="239">IF(L152="X","X",IF(L152=0,"-",L152/L$154*100))</f>
        <v>100.68949412341053</v>
      </c>
      <c r="M228" s="29">
        <f t="shared" ref="M228" ca="1" si="240">IF(M152="X","X",IF(M152=0,"-",M152/M$154*100))</f>
        <v>100.810614696982</v>
      </c>
      <c r="N228" s="29">
        <f t="shared" ref="N228:O228" ca="1" si="241">IF(N152="X","X",IF(N152=0,"-",N152/N$154*100))</f>
        <v>100.6948277665938</v>
      </c>
      <c r="O228" s="29">
        <f t="shared" ca="1" si="241"/>
        <v>100.70121215776142</v>
      </c>
    </row>
    <row r="229" spans="1:15" ht="15.75" customHeight="1" thickBot="1">
      <c r="A229" s="60">
        <v>20</v>
      </c>
      <c r="B229" s="101" t="s">
        <v>100</v>
      </c>
      <c r="C229" s="164">
        <f t="shared" ca="1" si="213"/>
        <v>0.10679505102326878</v>
      </c>
      <c r="D229" s="162">
        <f t="shared" ca="1" si="213"/>
        <v>0.10083495682375175</v>
      </c>
      <c r="E229" s="162">
        <f t="shared" ca="1" si="213"/>
        <v>5.30992808343793E-2</v>
      </c>
      <c r="F229" s="162">
        <f t="shared" ca="1" si="213"/>
        <v>-7.6258937889016012E-2</v>
      </c>
      <c r="G229" s="162">
        <f t="shared" ca="1" si="213"/>
        <v>-0.39783573533484451</v>
      </c>
      <c r="H229" s="162">
        <f t="shared" ref="H229:K229" ca="1" si="242">IF(H153="X","X",IF(H153=0,"-",H153/H$154*100))</f>
        <v>-0.53838737924957247</v>
      </c>
      <c r="I229" s="162">
        <f t="shared" ca="1" si="242"/>
        <v>-0.55748473876489291</v>
      </c>
      <c r="J229" s="162">
        <f t="shared" ca="1" si="242"/>
        <v>-0.58378192420558317</v>
      </c>
      <c r="K229" s="162">
        <f t="shared" ca="1" si="242"/>
        <v>-0.73969768197844521</v>
      </c>
      <c r="L229" s="162">
        <f t="shared" ref="L229" ca="1" si="243">IF(L153="X","X",IF(L153=0,"-",L153/L$154*100))</f>
        <v>-0.68949412341052141</v>
      </c>
      <c r="M229" s="162">
        <f t="shared" ref="M229" ca="1" si="244">IF(M153="X","X",IF(M153=0,"-",M153/M$154*100))</f>
        <v>-0.81061469698201249</v>
      </c>
      <c r="N229" s="162">
        <f t="shared" ref="N229:O229" ca="1" si="245">IF(N153="X","X",IF(N153=0,"-",N153/N$154*100))</f>
        <v>-0.69482776659379042</v>
      </c>
      <c r="O229" s="162">
        <f t="shared" ca="1" si="245"/>
        <v>-0.70121215776142809</v>
      </c>
    </row>
    <row r="230" spans="1:15" ht="15.75" customHeight="1" thickTop="1">
      <c r="A230" s="18">
        <v>21</v>
      </c>
      <c r="B230" s="99" t="s">
        <v>119</v>
      </c>
      <c r="C230" s="54">
        <f t="shared" ca="1" si="213"/>
        <v>100</v>
      </c>
      <c r="D230" s="32">
        <f t="shared" ca="1" si="213"/>
        <v>100</v>
      </c>
      <c r="E230" s="32">
        <f t="shared" ca="1" si="213"/>
        <v>100</v>
      </c>
      <c r="F230" s="32">
        <f t="shared" ca="1" si="213"/>
        <v>100</v>
      </c>
      <c r="G230" s="32">
        <f t="shared" ca="1" si="213"/>
        <v>100</v>
      </c>
      <c r="H230" s="32">
        <f t="shared" ref="H230:K230" ca="1" si="246">IF(H154="X","X",IF(H154=0,"-",H154/H$154*100))</f>
        <v>100</v>
      </c>
      <c r="I230" s="32">
        <f t="shared" ca="1" si="246"/>
        <v>100</v>
      </c>
      <c r="J230" s="32">
        <f t="shared" ca="1" si="246"/>
        <v>100</v>
      </c>
      <c r="K230" s="32">
        <f t="shared" ca="1" si="246"/>
        <v>100</v>
      </c>
      <c r="L230" s="32">
        <f t="shared" ref="L230" ca="1" si="247">IF(L154="X","X",IF(L154=0,"-",L154/L$154*100))</f>
        <v>100</v>
      </c>
      <c r="M230" s="32">
        <f t="shared" ref="M230" ca="1" si="248">IF(M154="X","X",IF(M154=0,"-",M154/M$154*100))</f>
        <v>100</v>
      </c>
      <c r="N230" s="32">
        <f t="shared" ref="N230:O230" ca="1" si="249">IF(N154="X","X",IF(N154=0,"-",N154/N$154*100))</f>
        <v>100</v>
      </c>
      <c r="O230" s="32">
        <f t="shared" ca="1" si="249"/>
        <v>100</v>
      </c>
    </row>
    <row r="231" spans="1:15" ht="15.75" customHeight="1">
      <c r="A231" s="115" t="s">
        <v>146</v>
      </c>
      <c r="B231" s="116" t="s">
        <v>72</v>
      </c>
      <c r="C231" s="53">
        <f t="shared" ca="1" si="213"/>
        <v>1.4001072999293436</v>
      </c>
      <c r="D231" s="30">
        <f t="shared" ca="1" si="213"/>
        <v>1.5577307902397475</v>
      </c>
      <c r="E231" s="30">
        <f t="shared" ca="1" si="213"/>
        <v>1.4176843602942077</v>
      </c>
      <c r="F231" s="30">
        <f t="shared" ca="1" si="213"/>
        <v>1.5053167821892066</v>
      </c>
      <c r="G231" s="30">
        <f t="shared" ca="1" si="213"/>
        <v>1.4263014980243338</v>
      </c>
      <c r="H231" s="30">
        <f t="shared" ref="H231:K231" ca="1" si="250">IF(H155="X","X",IF(H155=0,"-",H155/H$154*100))</f>
        <v>1.7882250895700911</v>
      </c>
      <c r="I231" s="30">
        <f t="shared" ca="1" si="250"/>
        <v>1.4702665767653231</v>
      </c>
      <c r="J231" s="30">
        <f t="shared" ca="1" si="250"/>
        <v>1.3624572330394027</v>
      </c>
      <c r="K231" s="30">
        <f t="shared" ca="1" si="250"/>
        <v>1.2915182701822194</v>
      </c>
      <c r="L231" s="30">
        <f t="shared" ref="L231" ca="1" si="251">IF(L155="X","X",IF(L155=0,"-",L155/L$154*100))</f>
        <v>1.1105699580042971</v>
      </c>
      <c r="M231" s="30">
        <f t="shared" ref="M231" ca="1" si="252">IF(M155="X","X",IF(M155=0,"-",M155/M$154*100))</f>
        <v>1.2219897593383027</v>
      </c>
      <c r="N231" s="30">
        <f t="shared" ref="N231:O231" ca="1" si="253">IF(N155="X","X",IF(N155=0,"-",N155/N$154*100))</f>
        <v>0.91652325908608778</v>
      </c>
      <c r="O231" s="30">
        <f t="shared" ca="1" si="253"/>
        <v>0.94715440150248986</v>
      </c>
    </row>
    <row r="232" spans="1:15" ht="15.75" customHeight="1">
      <c r="A232" s="118" t="s">
        <v>147</v>
      </c>
      <c r="B232" s="99" t="s">
        <v>73</v>
      </c>
      <c r="C232" s="53">
        <f t="shared" ref="C232:G233" ca="1" si="254">IF(C156="X","X",IF(C156=0,"-",C156/C$154*100))</f>
        <v>12.295780040990806</v>
      </c>
      <c r="D232" s="30">
        <f t="shared" ca="1" si="254"/>
        <v>11.019895858545379</v>
      </c>
      <c r="E232" s="30">
        <f t="shared" ca="1" si="254"/>
        <v>12.234273618192152</v>
      </c>
      <c r="F232" s="30">
        <f t="shared" ca="1" si="254"/>
        <v>12.621620074305383</v>
      </c>
      <c r="G232" s="30">
        <f t="shared" ca="1" si="254"/>
        <v>13.808403649135428</v>
      </c>
      <c r="H232" s="30">
        <f t="shared" ref="H232:K232" ca="1" si="255">IF(H156="X","X",IF(H156=0,"-",H156/H$154*100))</f>
        <v>14.008246617698921</v>
      </c>
      <c r="I232" s="30">
        <f t="shared" ca="1" si="255"/>
        <v>14.608328106160712</v>
      </c>
      <c r="J232" s="30">
        <f t="shared" ca="1" si="255"/>
        <v>14.781828993237228</v>
      </c>
      <c r="K232" s="30">
        <f t="shared" ca="1" si="255"/>
        <v>14.957919103226796</v>
      </c>
      <c r="L232" s="30">
        <f t="shared" ref="L232" ca="1" si="256">IF(L156="X","X",IF(L156=0,"-",L156/L$154*100))</f>
        <v>14.371637927627992</v>
      </c>
      <c r="M232" s="30">
        <f t="shared" ref="M232" ca="1" si="257">IF(M156="X","X",IF(M156=0,"-",M156/M$154*100))</f>
        <v>15.020471988450169</v>
      </c>
      <c r="N232" s="30">
        <f t="shared" ref="N232:O232" ca="1" si="258">IF(N156="X","X",IF(N156=0,"-",N156/N$154*100))</f>
        <v>13.055298504231876</v>
      </c>
      <c r="O232" s="30">
        <f t="shared" ca="1" si="258"/>
        <v>12.727247273291177</v>
      </c>
    </row>
    <row r="233" spans="1:15" ht="15.75" customHeight="1">
      <c r="A233" s="119" t="s">
        <v>148</v>
      </c>
      <c r="B233" s="100" t="s">
        <v>74</v>
      </c>
      <c r="C233" s="54">
        <f t="shared" ca="1" si="254"/>
        <v>86.197317608056579</v>
      </c>
      <c r="D233" s="32">
        <f t="shared" ca="1" si="254"/>
        <v>87.321538394391112</v>
      </c>
      <c r="E233" s="32">
        <f t="shared" ca="1" si="254"/>
        <v>86.294942740679261</v>
      </c>
      <c r="F233" s="32">
        <f t="shared" ca="1" si="254"/>
        <v>85.949322081394428</v>
      </c>
      <c r="G233" s="32">
        <f t="shared" ca="1" si="254"/>
        <v>85.163130588175079</v>
      </c>
      <c r="H233" s="32">
        <f t="shared" ref="H233:K233" ca="1" si="259">IF(H157="X","X",IF(H157=0,"-",H157/H$154*100))</f>
        <v>84.741915671980564</v>
      </c>
      <c r="I233" s="32">
        <f t="shared" ca="1" si="259"/>
        <v>84.47889005583886</v>
      </c>
      <c r="J233" s="32">
        <f t="shared" ca="1" si="259"/>
        <v>84.439495697928962</v>
      </c>
      <c r="K233" s="32">
        <f t="shared" ca="1" si="259"/>
        <v>84.490260308569432</v>
      </c>
      <c r="L233" s="32">
        <f t="shared" ref="L233" ca="1" si="260">IF(L157="X","X",IF(L157=0,"-",L157/L$154*100))</f>
        <v>85.207286237778234</v>
      </c>
      <c r="M233" s="32">
        <f t="shared" ref="M233" ca="1" si="261">IF(M157="X","X",IF(M157=0,"-",M157/M$154*100))</f>
        <v>84.568152949193546</v>
      </c>
      <c r="N233" s="32">
        <f t="shared" ref="N233:O233" ca="1" si="262">IF(N157="X","X",IF(N157=0,"-",N157/N$154*100))</f>
        <v>86.723006003275827</v>
      </c>
      <c r="O233" s="32">
        <f t="shared" ca="1" si="262"/>
        <v>87.026810482967761</v>
      </c>
    </row>
    <row r="234" spans="1:15" ht="15.75" customHeight="1">
      <c r="A234" s="115"/>
      <c r="B234" s="276" t="s">
        <v>279</v>
      </c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</row>
    <row r="235" spans="1:15" ht="15.75" customHeight="1">
      <c r="A235" s="119"/>
      <c r="B235" s="277" t="s">
        <v>280</v>
      </c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</row>
    <row r="237" spans="1:15" ht="15.75" customHeight="1">
      <c r="B237" s="24" t="s">
        <v>285</v>
      </c>
      <c r="C237" s="41" t="s">
        <v>294</v>
      </c>
      <c r="D237" s="41" t="s">
        <v>294</v>
      </c>
      <c r="E237" s="41" t="s">
        <v>294</v>
      </c>
      <c r="F237" s="41" t="s">
        <v>294</v>
      </c>
      <c r="G237" s="41" t="s">
        <v>294</v>
      </c>
      <c r="H237" s="41" t="s">
        <v>294</v>
      </c>
      <c r="I237" s="41" t="s">
        <v>294</v>
      </c>
      <c r="J237" s="41" t="s">
        <v>294</v>
      </c>
      <c r="K237" s="41" t="s">
        <v>295</v>
      </c>
      <c r="L237" s="41" t="s">
        <v>295</v>
      </c>
      <c r="M237" s="41" t="s">
        <v>295</v>
      </c>
      <c r="N237" s="41" t="s">
        <v>295</v>
      </c>
      <c r="O237" s="41" t="s">
        <v>295</v>
      </c>
    </row>
    <row r="238" spans="1:15" ht="15.75" customHeight="1">
      <c r="B238" s="281"/>
      <c r="C238" s="295" t="str">
        <f t="shared" ref="C238:O238" si="263">C237&amp;C4</f>
        <v>H23</v>
      </c>
      <c r="D238" s="295" t="str">
        <f t="shared" si="263"/>
        <v>H24</v>
      </c>
      <c r="E238" s="295" t="str">
        <f t="shared" si="263"/>
        <v>H25</v>
      </c>
      <c r="F238" s="295" t="str">
        <f t="shared" si="263"/>
        <v>H26</v>
      </c>
      <c r="G238" s="295" t="str">
        <f t="shared" si="263"/>
        <v>H27</v>
      </c>
      <c r="H238" s="295" t="str">
        <f t="shared" si="263"/>
        <v>H28</v>
      </c>
      <c r="I238" s="295" t="str">
        <f t="shared" si="263"/>
        <v>H29</v>
      </c>
      <c r="J238" s="295" t="str">
        <f t="shared" si="263"/>
        <v>H30</v>
      </c>
      <c r="K238" s="295" t="str">
        <f t="shared" si="263"/>
        <v>R1</v>
      </c>
      <c r="L238" s="295" t="str">
        <f t="shared" si="263"/>
        <v>R2</v>
      </c>
      <c r="M238" s="295" t="str">
        <f t="shared" si="263"/>
        <v>R3</v>
      </c>
      <c r="N238" s="295" t="str">
        <f t="shared" si="263"/>
        <v>R4</v>
      </c>
      <c r="O238" s="295" t="str">
        <f t="shared" si="263"/>
        <v>R5</v>
      </c>
    </row>
    <row r="239" spans="1:15" ht="15.75" customHeight="1">
      <c r="B239" s="282" t="str">
        <f>$B$2</f>
        <v>那 覇 市</v>
      </c>
      <c r="C239" s="58">
        <f ca="1">C30</f>
        <v>7346</v>
      </c>
      <c r="D239" s="58">
        <f t="shared" ref="D239:N239" ca="1" si="264">D30</f>
        <v>7151</v>
      </c>
      <c r="E239" s="58">
        <f t="shared" ca="1" si="264"/>
        <v>7267</v>
      </c>
      <c r="F239" s="58">
        <f t="shared" ca="1" si="264"/>
        <v>7301</v>
      </c>
      <c r="G239" s="58">
        <f t="shared" ca="1" si="264"/>
        <v>7459</v>
      </c>
      <c r="H239" s="58">
        <f t="shared" ca="1" si="264"/>
        <v>7513</v>
      </c>
      <c r="I239" s="58">
        <f t="shared" ca="1" si="264"/>
        <v>7472</v>
      </c>
      <c r="J239" s="58">
        <f t="shared" ca="1" si="264"/>
        <v>7385</v>
      </c>
      <c r="K239" s="58">
        <f t="shared" ca="1" si="264"/>
        <v>7119</v>
      </c>
      <c r="L239" s="58">
        <f t="shared" ca="1" si="264"/>
        <v>6478</v>
      </c>
      <c r="M239" s="58">
        <f t="shared" ca="1" si="264"/>
        <v>6755</v>
      </c>
      <c r="N239" s="58">
        <f t="shared" ca="1" si="264"/>
        <v>7006</v>
      </c>
      <c r="O239" s="58">
        <f t="shared" ref="O239" ca="1" si="265">O30</f>
        <v>7218</v>
      </c>
    </row>
    <row r="240" spans="1:15" ht="15.75" customHeight="1">
      <c r="B240" s="280" t="str">
        <f>$B$130</f>
        <v>沖 縄 県</v>
      </c>
      <c r="C240" s="58">
        <f ca="1">C158</f>
        <v>5911</v>
      </c>
      <c r="D240" s="58">
        <f t="shared" ref="D240:N240" ca="1" si="266">D158</f>
        <v>5815</v>
      </c>
      <c r="E240" s="58">
        <f t="shared" ca="1" si="266"/>
        <v>5955</v>
      </c>
      <c r="F240" s="58">
        <f t="shared" ca="1" si="266"/>
        <v>5930</v>
      </c>
      <c r="G240" s="58">
        <f t="shared" ca="1" si="266"/>
        <v>6126</v>
      </c>
      <c r="H240" s="58">
        <f t="shared" ca="1" si="266"/>
        <v>6191</v>
      </c>
      <c r="I240" s="58">
        <f t="shared" ca="1" si="266"/>
        <v>6227</v>
      </c>
      <c r="J240" s="58">
        <f t="shared" ca="1" si="266"/>
        <v>6186</v>
      </c>
      <c r="K240" s="58">
        <f t="shared" ca="1" si="266"/>
        <v>6053</v>
      </c>
      <c r="L240" s="58">
        <f t="shared" ca="1" si="266"/>
        <v>5733</v>
      </c>
      <c r="M240" s="58">
        <f t="shared" ca="1" si="266"/>
        <v>5911</v>
      </c>
      <c r="N240" s="58">
        <f t="shared" ca="1" si="266"/>
        <v>5985</v>
      </c>
      <c r="O240" s="58">
        <f t="shared" ref="O240" ca="1" si="267">O158</f>
        <v>6138</v>
      </c>
    </row>
    <row r="241" spans="2:15" ht="15.75" customHeight="1">
      <c r="B241" s="129" t="s">
        <v>286</v>
      </c>
      <c r="C241" s="289">
        <f ca="1">C239/C240*100</f>
        <v>124.27677211977668</v>
      </c>
      <c r="D241" s="289">
        <f t="shared" ref="D241:O241" ca="1" si="268">D239/D240*100</f>
        <v>122.97506448839208</v>
      </c>
      <c r="E241" s="289">
        <f t="shared" ca="1" si="268"/>
        <v>122.03190596137699</v>
      </c>
      <c r="F241" s="289">
        <f t="shared" ca="1" si="268"/>
        <v>123.11973018549747</v>
      </c>
      <c r="G241" s="289">
        <f t="shared" ca="1" si="268"/>
        <v>121.75971269996735</v>
      </c>
      <c r="H241" s="289">
        <f t="shared" ca="1" si="268"/>
        <v>121.35357777418834</v>
      </c>
      <c r="I241" s="289">
        <f t="shared" ca="1" si="268"/>
        <v>119.99357636100851</v>
      </c>
      <c r="J241" s="289">
        <f t="shared" ca="1" si="268"/>
        <v>119.38247655997414</v>
      </c>
      <c r="K241" s="289">
        <f t="shared" ca="1" si="268"/>
        <v>117.61110193292583</v>
      </c>
      <c r="L241" s="289">
        <f t="shared" ca="1" si="268"/>
        <v>112.99494156637013</v>
      </c>
      <c r="M241" s="289">
        <f t="shared" ca="1" si="268"/>
        <v>114.27846388090002</v>
      </c>
      <c r="N241" s="289">
        <f t="shared" ca="1" si="268"/>
        <v>117.0593149540518</v>
      </c>
      <c r="O241" s="289">
        <f t="shared" ca="1" si="268"/>
        <v>117.59530791788858</v>
      </c>
    </row>
  </sheetData>
  <mergeCells count="13">
    <mergeCell ref="AD170:AD171"/>
    <mergeCell ref="Y170:Y171"/>
    <mergeCell ref="Z170:Z171"/>
    <mergeCell ref="AA170:AA171"/>
    <mergeCell ref="AB170:AB171"/>
    <mergeCell ref="AC170:AC171"/>
    <mergeCell ref="Z173:Z174"/>
    <mergeCell ref="AA173:AA174"/>
    <mergeCell ref="AC173:AC174"/>
    <mergeCell ref="AD173:AD174"/>
    <mergeCell ref="Y176:Y177"/>
    <mergeCell ref="AA176:AA177"/>
    <mergeCell ref="AB176:AB177"/>
  </mergeCells>
  <phoneticPr fontId="3"/>
  <pageMargins left="0.78740157480314965" right="0.70866141732283472" top="0.74803149606299213" bottom="0.74803149606299213" header="0.31496062992125984" footer="0.31496062992125984"/>
  <pageSetup paperSize="9" scale="54" orientation="landscape" r:id="rId1"/>
  <headerFooter>
    <oddHeader>&amp;R&amp;"ＭＳ ゴシック,標準"&amp;10&amp;D</oddHeader>
  </headerFooter>
  <rowBreaks count="6" manualBreakCount="6">
    <brk id="32" max="14" man="1"/>
    <brk id="64" max="14" man="1"/>
    <brk id="96" max="14" man="1"/>
    <brk id="128" max="14" man="1"/>
    <brk id="172" max="14" man="1"/>
    <brk id="204" max="14" man="1"/>
  </rowBreaks>
  <ignoredErrors>
    <ignoredError sqref="A6:A23" numberStoredAsText="1"/>
    <ignoredError sqref="C210:K233 C165:K171 C134:K157 D102:K125 C70:K93 D38:K61 C6:K29 D178:M20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P155"/>
  <sheetViews>
    <sheetView showGridLines="0" view="pageBreakPreview" zoomScale="90" zoomScaleNormal="90" zoomScaleSheetLayoutView="90" workbookViewId="0">
      <pane xSplit="2" ySplit="4" topLeftCell="C84" activePane="bottomRight" state="frozen"/>
      <selection activeCell="T665" sqref="T665"/>
      <selection pane="topRight" activeCell="T665" sqref="T665"/>
      <selection pane="bottomLeft" activeCell="T665" sqref="T665"/>
      <selection pane="bottomRight" activeCell="T665" sqref="T665"/>
    </sheetView>
  </sheetViews>
  <sheetFormatPr defaultColWidth="9" defaultRowHeight="13.5" customHeight="1"/>
  <cols>
    <col min="1" max="1" width="3.75" style="24" customWidth="1"/>
    <col min="2" max="2" width="18.75" style="24" customWidth="1"/>
    <col min="3" max="15" width="11.25" style="24" customWidth="1"/>
    <col min="16" max="16384" width="9" style="24"/>
  </cols>
  <sheetData>
    <row r="1" spans="1:16" ht="13.5" customHeight="1">
      <c r="A1" s="104" t="s">
        <v>162</v>
      </c>
      <c r="P1" s="41"/>
    </row>
    <row r="2" spans="1:16" ht="13.5" customHeight="1" thickBot="1">
      <c r="A2" s="42"/>
      <c r="P2" s="41"/>
    </row>
    <row r="3" spans="1:16" ht="13.5" customHeight="1" thickBot="1">
      <c r="B3" s="43" t="s">
        <v>97</v>
      </c>
      <c r="C3" s="84" t="str">
        <f ca="1">経済活動別〔統計表〕!A1</f>
        <v>経済活動別〔統計表〕</v>
      </c>
      <c r="D3" s="85"/>
      <c r="P3" s="41"/>
    </row>
    <row r="4" spans="1:16" ht="13.5" customHeight="1">
      <c r="P4" s="41"/>
    </row>
    <row r="5" spans="1:16" ht="13.5" customHeight="1" thickBot="1">
      <c r="B5" s="42" t="s">
        <v>95</v>
      </c>
      <c r="P5" s="41"/>
    </row>
    <row r="6" spans="1:16" ht="13.5" customHeight="1">
      <c r="B6" s="42"/>
      <c r="C6" s="45">
        <v>4</v>
      </c>
      <c r="D6" s="86"/>
      <c r="E6" s="82" t="str">
        <f ca="1">"　←"&amp;$C$3</f>
        <v>　←経済活動別〔統計表〕</v>
      </c>
      <c r="F6" s="24" t="s">
        <v>128</v>
      </c>
      <c r="P6" s="41"/>
    </row>
    <row r="7" spans="1:16" ht="13.5" customHeight="1" thickBot="1">
      <c r="B7" s="42"/>
      <c r="C7" s="44">
        <v>56</v>
      </c>
      <c r="D7" s="86"/>
      <c r="E7" s="82" t="str">
        <f ca="1">"　←"&amp;$C$3</f>
        <v>　←経済活動別〔統計表〕</v>
      </c>
      <c r="F7" s="24" t="s">
        <v>127</v>
      </c>
      <c r="P7" s="41"/>
    </row>
    <row r="8" spans="1:16" ht="13.5" customHeight="1">
      <c r="A8" s="42"/>
      <c r="P8" s="41"/>
    </row>
    <row r="9" spans="1:16" ht="13.5" customHeight="1">
      <c r="A9" s="4"/>
      <c r="B9" s="25" t="s">
        <v>94</v>
      </c>
      <c r="C9" s="46">
        <f>C6</f>
        <v>4</v>
      </c>
      <c r="D9" s="80">
        <f>C7-C6</f>
        <v>52</v>
      </c>
      <c r="E9" s="80">
        <f>D9</f>
        <v>52</v>
      </c>
      <c r="F9" s="80">
        <f t="shared" ref="F9:L9" si="0">E9</f>
        <v>52</v>
      </c>
      <c r="G9" s="80">
        <f t="shared" si="0"/>
        <v>52</v>
      </c>
      <c r="H9" s="80">
        <f t="shared" si="0"/>
        <v>52</v>
      </c>
      <c r="I9" s="80">
        <f t="shared" si="0"/>
        <v>52</v>
      </c>
      <c r="J9" s="80">
        <f t="shared" si="0"/>
        <v>52</v>
      </c>
      <c r="K9" s="80">
        <f t="shared" si="0"/>
        <v>52</v>
      </c>
      <c r="L9" s="80">
        <f t="shared" si="0"/>
        <v>52</v>
      </c>
      <c r="M9" s="80">
        <f t="shared" ref="M9" si="1">L9</f>
        <v>52</v>
      </c>
      <c r="N9" s="80">
        <f t="shared" ref="N9:O9" si="2">M9</f>
        <v>52</v>
      </c>
      <c r="O9" s="80">
        <f t="shared" si="2"/>
        <v>52</v>
      </c>
    </row>
    <row r="10" spans="1:16" ht="13.5" customHeight="1">
      <c r="A10" s="154"/>
      <c r="B10" s="7"/>
      <c r="C10" s="8">
        <v>23</v>
      </c>
      <c r="D10" s="9">
        <f t="shared" ref="D10:J11" si="3">C10+1</f>
        <v>24</v>
      </c>
      <c r="E10" s="9">
        <f t="shared" si="3"/>
        <v>25</v>
      </c>
      <c r="F10" s="9">
        <f t="shared" si="3"/>
        <v>26</v>
      </c>
      <c r="G10" s="9">
        <f t="shared" si="3"/>
        <v>27</v>
      </c>
      <c r="H10" s="9">
        <f t="shared" si="3"/>
        <v>28</v>
      </c>
      <c r="I10" s="9">
        <f t="shared" si="3"/>
        <v>29</v>
      </c>
      <c r="J10" s="9">
        <f t="shared" si="3"/>
        <v>30</v>
      </c>
      <c r="K10" s="10">
        <v>1</v>
      </c>
      <c r="L10" s="11">
        <f>K10+1</f>
        <v>2</v>
      </c>
      <c r="M10" s="11">
        <f t="shared" ref="M10:O10" si="4">L10+1</f>
        <v>3</v>
      </c>
      <c r="N10" s="11">
        <f t="shared" si="4"/>
        <v>4</v>
      </c>
      <c r="O10" s="11">
        <f t="shared" si="4"/>
        <v>5</v>
      </c>
    </row>
    <row r="11" spans="1:16" ht="13.5" customHeight="1">
      <c r="A11" s="155"/>
      <c r="B11" s="13"/>
      <c r="C11" s="14">
        <v>2011</v>
      </c>
      <c r="D11" s="15">
        <f>C11+1</f>
        <v>2012</v>
      </c>
      <c r="E11" s="15">
        <f t="shared" si="3"/>
        <v>2013</v>
      </c>
      <c r="F11" s="15">
        <f t="shared" si="3"/>
        <v>2014</v>
      </c>
      <c r="G11" s="15">
        <f t="shared" si="3"/>
        <v>2015</v>
      </c>
      <c r="H11" s="15">
        <f t="shared" si="3"/>
        <v>2016</v>
      </c>
      <c r="I11" s="15">
        <f t="shared" si="3"/>
        <v>2017</v>
      </c>
      <c r="J11" s="15">
        <f t="shared" si="3"/>
        <v>2018</v>
      </c>
      <c r="K11" s="15">
        <f>J11+1</f>
        <v>2019</v>
      </c>
      <c r="L11" s="15">
        <f>K11+1</f>
        <v>2020</v>
      </c>
      <c r="M11" s="15">
        <f t="shared" ref="M11:O11" si="5">L11+1</f>
        <v>2021</v>
      </c>
      <c r="N11" s="15">
        <f t="shared" si="5"/>
        <v>2022</v>
      </c>
      <c r="O11" s="15">
        <f t="shared" si="5"/>
        <v>2023</v>
      </c>
    </row>
    <row r="12" spans="1:16" ht="13.5" customHeight="1">
      <c r="A12" s="17"/>
      <c r="B12" s="136" t="s">
        <v>0</v>
      </c>
      <c r="C12" s="137">
        <f>C9</f>
        <v>4</v>
      </c>
      <c r="D12" s="137">
        <f>C12+D$9</f>
        <v>56</v>
      </c>
      <c r="E12" s="137">
        <f t="shared" ref="E12:L12" si="6">D12+E$9</f>
        <v>108</v>
      </c>
      <c r="F12" s="137">
        <f t="shared" si="6"/>
        <v>160</v>
      </c>
      <c r="G12" s="137">
        <f t="shared" si="6"/>
        <v>212</v>
      </c>
      <c r="H12" s="137">
        <f t="shared" si="6"/>
        <v>264</v>
      </c>
      <c r="I12" s="137">
        <f t="shared" si="6"/>
        <v>316</v>
      </c>
      <c r="J12" s="137">
        <f t="shared" si="6"/>
        <v>368</v>
      </c>
      <c r="K12" s="137">
        <f t="shared" si="6"/>
        <v>420</v>
      </c>
      <c r="L12" s="137">
        <f t="shared" si="6"/>
        <v>472</v>
      </c>
      <c r="M12" s="137">
        <f t="shared" ref="M12:O27" si="7">L12+M$9</f>
        <v>524</v>
      </c>
      <c r="N12" s="137">
        <f t="shared" ref="N12:O13" si="8">M12+N$9</f>
        <v>576</v>
      </c>
      <c r="O12" s="137">
        <f t="shared" si="8"/>
        <v>628</v>
      </c>
    </row>
    <row r="13" spans="1:16" ht="13.5" customHeight="1">
      <c r="A13" s="17"/>
      <c r="B13" s="138" t="s">
        <v>2</v>
      </c>
      <c r="C13" s="139">
        <f>C12+1</f>
        <v>5</v>
      </c>
      <c r="D13" s="140">
        <f>C13+D$9</f>
        <v>57</v>
      </c>
      <c r="E13" s="140">
        <f t="shared" ref="E13:L13" si="9">D13+E$9</f>
        <v>109</v>
      </c>
      <c r="F13" s="140">
        <f t="shared" si="9"/>
        <v>161</v>
      </c>
      <c r="G13" s="140">
        <f t="shared" si="9"/>
        <v>213</v>
      </c>
      <c r="H13" s="140">
        <f t="shared" si="9"/>
        <v>265</v>
      </c>
      <c r="I13" s="140">
        <f t="shared" si="9"/>
        <v>317</v>
      </c>
      <c r="J13" s="140">
        <f t="shared" si="9"/>
        <v>369</v>
      </c>
      <c r="K13" s="140">
        <f t="shared" si="9"/>
        <v>421</v>
      </c>
      <c r="L13" s="140">
        <f t="shared" si="9"/>
        <v>473</v>
      </c>
      <c r="M13" s="140">
        <f t="shared" si="7"/>
        <v>525</v>
      </c>
      <c r="N13" s="140">
        <f t="shared" si="8"/>
        <v>577</v>
      </c>
      <c r="O13" s="140">
        <f t="shared" si="8"/>
        <v>629</v>
      </c>
    </row>
    <row r="14" spans="1:16" ht="13.5" customHeight="1">
      <c r="A14" s="17"/>
      <c r="B14" s="138" t="s">
        <v>4</v>
      </c>
      <c r="C14" s="141">
        <f t="shared" ref="C14:C59" si="10">C13+1</f>
        <v>6</v>
      </c>
      <c r="D14" s="142">
        <f t="shared" ref="D14:L59" si="11">C14+D$9</f>
        <v>58</v>
      </c>
      <c r="E14" s="142">
        <f t="shared" si="11"/>
        <v>110</v>
      </c>
      <c r="F14" s="142">
        <f t="shared" si="11"/>
        <v>162</v>
      </c>
      <c r="G14" s="142">
        <f t="shared" si="11"/>
        <v>214</v>
      </c>
      <c r="H14" s="142">
        <f t="shared" si="11"/>
        <v>266</v>
      </c>
      <c r="I14" s="142">
        <f t="shared" si="11"/>
        <v>318</v>
      </c>
      <c r="J14" s="142">
        <f t="shared" si="11"/>
        <v>370</v>
      </c>
      <c r="K14" s="142">
        <f t="shared" si="11"/>
        <v>422</v>
      </c>
      <c r="L14" s="142">
        <f t="shared" si="11"/>
        <v>474</v>
      </c>
      <c r="M14" s="142">
        <f t="shared" si="7"/>
        <v>526</v>
      </c>
      <c r="N14" s="142">
        <f t="shared" si="7"/>
        <v>578</v>
      </c>
      <c r="O14" s="142">
        <f t="shared" si="7"/>
        <v>630</v>
      </c>
    </row>
    <row r="15" spans="1:16" ht="13.5" customHeight="1">
      <c r="A15" s="17"/>
      <c r="B15" s="138" t="s">
        <v>6</v>
      </c>
      <c r="C15" s="141">
        <f t="shared" si="10"/>
        <v>7</v>
      </c>
      <c r="D15" s="142">
        <f t="shared" si="11"/>
        <v>59</v>
      </c>
      <c r="E15" s="142">
        <f t="shared" si="11"/>
        <v>111</v>
      </c>
      <c r="F15" s="142">
        <f t="shared" si="11"/>
        <v>163</v>
      </c>
      <c r="G15" s="142">
        <f t="shared" si="11"/>
        <v>215</v>
      </c>
      <c r="H15" s="142">
        <f t="shared" si="11"/>
        <v>267</v>
      </c>
      <c r="I15" s="142">
        <f t="shared" si="11"/>
        <v>319</v>
      </c>
      <c r="J15" s="142">
        <f t="shared" si="11"/>
        <v>371</v>
      </c>
      <c r="K15" s="142">
        <f t="shared" si="11"/>
        <v>423</v>
      </c>
      <c r="L15" s="142">
        <f t="shared" si="11"/>
        <v>475</v>
      </c>
      <c r="M15" s="142">
        <f t="shared" si="7"/>
        <v>527</v>
      </c>
      <c r="N15" s="142">
        <f t="shared" si="7"/>
        <v>579</v>
      </c>
      <c r="O15" s="142">
        <f t="shared" si="7"/>
        <v>631</v>
      </c>
    </row>
    <row r="16" spans="1:16" ht="13.5" customHeight="1">
      <c r="A16" s="17"/>
      <c r="B16" s="138" t="s">
        <v>8</v>
      </c>
      <c r="C16" s="141">
        <f t="shared" si="10"/>
        <v>8</v>
      </c>
      <c r="D16" s="142">
        <f t="shared" si="11"/>
        <v>60</v>
      </c>
      <c r="E16" s="142">
        <f t="shared" si="11"/>
        <v>112</v>
      </c>
      <c r="F16" s="142">
        <f t="shared" si="11"/>
        <v>164</v>
      </c>
      <c r="G16" s="142">
        <f t="shared" si="11"/>
        <v>216</v>
      </c>
      <c r="H16" s="142">
        <f t="shared" si="11"/>
        <v>268</v>
      </c>
      <c r="I16" s="142">
        <f t="shared" si="11"/>
        <v>320</v>
      </c>
      <c r="J16" s="142">
        <f t="shared" si="11"/>
        <v>372</v>
      </c>
      <c r="K16" s="142">
        <f t="shared" si="11"/>
        <v>424</v>
      </c>
      <c r="L16" s="142">
        <f t="shared" si="11"/>
        <v>476</v>
      </c>
      <c r="M16" s="142">
        <f t="shared" si="7"/>
        <v>528</v>
      </c>
      <c r="N16" s="142">
        <f t="shared" si="7"/>
        <v>580</v>
      </c>
      <c r="O16" s="142">
        <f t="shared" si="7"/>
        <v>632</v>
      </c>
    </row>
    <row r="17" spans="1:15" ht="13.5" customHeight="1">
      <c r="A17" s="17"/>
      <c r="B17" s="138" t="s">
        <v>10</v>
      </c>
      <c r="C17" s="141">
        <f t="shared" si="10"/>
        <v>9</v>
      </c>
      <c r="D17" s="142">
        <f t="shared" si="11"/>
        <v>61</v>
      </c>
      <c r="E17" s="142">
        <f t="shared" si="11"/>
        <v>113</v>
      </c>
      <c r="F17" s="142">
        <f t="shared" si="11"/>
        <v>165</v>
      </c>
      <c r="G17" s="142">
        <f t="shared" si="11"/>
        <v>217</v>
      </c>
      <c r="H17" s="142">
        <f t="shared" si="11"/>
        <v>269</v>
      </c>
      <c r="I17" s="142">
        <f t="shared" si="11"/>
        <v>321</v>
      </c>
      <c r="J17" s="142">
        <f t="shared" si="11"/>
        <v>373</v>
      </c>
      <c r="K17" s="142">
        <f t="shared" si="11"/>
        <v>425</v>
      </c>
      <c r="L17" s="142">
        <f t="shared" si="11"/>
        <v>477</v>
      </c>
      <c r="M17" s="142">
        <f t="shared" si="7"/>
        <v>529</v>
      </c>
      <c r="N17" s="142">
        <f t="shared" si="7"/>
        <v>581</v>
      </c>
      <c r="O17" s="142">
        <f t="shared" si="7"/>
        <v>633</v>
      </c>
    </row>
    <row r="18" spans="1:15" ht="13.5" customHeight="1">
      <c r="A18" s="17"/>
      <c r="B18" s="138" t="s">
        <v>12</v>
      </c>
      <c r="C18" s="141">
        <f t="shared" si="10"/>
        <v>10</v>
      </c>
      <c r="D18" s="142">
        <f t="shared" si="11"/>
        <v>62</v>
      </c>
      <c r="E18" s="142">
        <f t="shared" si="11"/>
        <v>114</v>
      </c>
      <c r="F18" s="142">
        <f t="shared" si="11"/>
        <v>166</v>
      </c>
      <c r="G18" s="142">
        <f t="shared" si="11"/>
        <v>218</v>
      </c>
      <c r="H18" s="142">
        <f t="shared" si="11"/>
        <v>270</v>
      </c>
      <c r="I18" s="142">
        <f t="shared" si="11"/>
        <v>322</v>
      </c>
      <c r="J18" s="142">
        <f t="shared" si="11"/>
        <v>374</v>
      </c>
      <c r="K18" s="142">
        <f t="shared" si="11"/>
        <v>426</v>
      </c>
      <c r="L18" s="142">
        <f t="shared" si="11"/>
        <v>478</v>
      </c>
      <c r="M18" s="142">
        <f t="shared" si="7"/>
        <v>530</v>
      </c>
      <c r="N18" s="142">
        <f t="shared" si="7"/>
        <v>582</v>
      </c>
      <c r="O18" s="142">
        <f t="shared" si="7"/>
        <v>634</v>
      </c>
    </row>
    <row r="19" spans="1:15" ht="13.5" customHeight="1">
      <c r="A19" s="17"/>
      <c r="B19" s="138" t="s">
        <v>14</v>
      </c>
      <c r="C19" s="141">
        <f t="shared" si="10"/>
        <v>11</v>
      </c>
      <c r="D19" s="142">
        <f t="shared" si="11"/>
        <v>63</v>
      </c>
      <c r="E19" s="142">
        <f t="shared" si="11"/>
        <v>115</v>
      </c>
      <c r="F19" s="142">
        <f t="shared" si="11"/>
        <v>167</v>
      </c>
      <c r="G19" s="142">
        <f t="shared" si="11"/>
        <v>219</v>
      </c>
      <c r="H19" s="142">
        <f t="shared" si="11"/>
        <v>271</v>
      </c>
      <c r="I19" s="142">
        <f t="shared" si="11"/>
        <v>323</v>
      </c>
      <c r="J19" s="142">
        <f t="shared" si="11"/>
        <v>375</v>
      </c>
      <c r="K19" s="142">
        <f t="shared" si="11"/>
        <v>427</v>
      </c>
      <c r="L19" s="142">
        <f t="shared" si="11"/>
        <v>479</v>
      </c>
      <c r="M19" s="142">
        <f t="shared" si="7"/>
        <v>531</v>
      </c>
      <c r="N19" s="142">
        <f t="shared" si="7"/>
        <v>583</v>
      </c>
      <c r="O19" s="142">
        <f t="shared" si="7"/>
        <v>635</v>
      </c>
    </row>
    <row r="20" spans="1:15" ht="13.5" customHeight="1">
      <c r="A20" s="17"/>
      <c r="B20" s="138" t="s">
        <v>45</v>
      </c>
      <c r="C20" s="141">
        <f t="shared" si="10"/>
        <v>12</v>
      </c>
      <c r="D20" s="142">
        <f t="shared" si="11"/>
        <v>64</v>
      </c>
      <c r="E20" s="142">
        <f t="shared" si="11"/>
        <v>116</v>
      </c>
      <c r="F20" s="142">
        <f t="shared" si="11"/>
        <v>168</v>
      </c>
      <c r="G20" s="142">
        <f t="shared" si="11"/>
        <v>220</v>
      </c>
      <c r="H20" s="142">
        <f t="shared" si="11"/>
        <v>272</v>
      </c>
      <c r="I20" s="142">
        <f t="shared" si="11"/>
        <v>324</v>
      </c>
      <c r="J20" s="142">
        <f t="shared" si="11"/>
        <v>376</v>
      </c>
      <c r="K20" s="142">
        <f t="shared" si="11"/>
        <v>428</v>
      </c>
      <c r="L20" s="142">
        <f t="shared" si="11"/>
        <v>480</v>
      </c>
      <c r="M20" s="142">
        <f t="shared" si="7"/>
        <v>532</v>
      </c>
      <c r="N20" s="142">
        <f t="shared" si="7"/>
        <v>584</v>
      </c>
      <c r="O20" s="142">
        <f t="shared" si="7"/>
        <v>636</v>
      </c>
    </row>
    <row r="21" spans="1:15" ht="13.5" customHeight="1">
      <c r="A21" s="17"/>
      <c r="B21" s="138" t="s">
        <v>46</v>
      </c>
      <c r="C21" s="141">
        <f t="shared" si="10"/>
        <v>13</v>
      </c>
      <c r="D21" s="142">
        <f t="shared" si="11"/>
        <v>65</v>
      </c>
      <c r="E21" s="142">
        <f t="shared" si="11"/>
        <v>117</v>
      </c>
      <c r="F21" s="142">
        <f t="shared" si="11"/>
        <v>169</v>
      </c>
      <c r="G21" s="142">
        <f t="shared" si="11"/>
        <v>221</v>
      </c>
      <c r="H21" s="142">
        <f t="shared" si="11"/>
        <v>273</v>
      </c>
      <c r="I21" s="142">
        <f t="shared" si="11"/>
        <v>325</v>
      </c>
      <c r="J21" s="142">
        <f t="shared" si="11"/>
        <v>377</v>
      </c>
      <c r="K21" s="142">
        <f t="shared" si="11"/>
        <v>429</v>
      </c>
      <c r="L21" s="142">
        <f t="shared" si="11"/>
        <v>481</v>
      </c>
      <c r="M21" s="142">
        <f t="shared" si="7"/>
        <v>533</v>
      </c>
      <c r="N21" s="142">
        <f t="shared" si="7"/>
        <v>585</v>
      </c>
      <c r="O21" s="142">
        <f t="shared" si="7"/>
        <v>637</v>
      </c>
    </row>
    <row r="22" spans="1:15" ht="13.5" customHeight="1">
      <c r="A22" s="17"/>
      <c r="B22" s="138" t="s">
        <v>47</v>
      </c>
      <c r="C22" s="141">
        <f t="shared" si="10"/>
        <v>14</v>
      </c>
      <c r="D22" s="142">
        <f t="shared" si="11"/>
        <v>66</v>
      </c>
      <c r="E22" s="142">
        <f t="shared" si="11"/>
        <v>118</v>
      </c>
      <c r="F22" s="142">
        <f t="shared" si="11"/>
        <v>170</v>
      </c>
      <c r="G22" s="142">
        <f t="shared" si="11"/>
        <v>222</v>
      </c>
      <c r="H22" s="142">
        <f t="shared" si="11"/>
        <v>274</v>
      </c>
      <c r="I22" s="142">
        <f t="shared" si="11"/>
        <v>326</v>
      </c>
      <c r="J22" s="142">
        <f t="shared" si="11"/>
        <v>378</v>
      </c>
      <c r="K22" s="142">
        <f t="shared" si="11"/>
        <v>430</v>
      </c>
      <c r="L22" s="142">
        <f t="shared" si="11"/>
        <v>482</v>
      </c>
      <c r="M22" s="142">
        <f t="shared" si="7"/>
        <v>534</v>
      </c>
      <c r="N22" s="142">
        <f t="shared" si="7"/>
        <v>586</v>
      </c>
      <c r="O22" s="142">
        <f t="shared" si="7"/>
        <v>638</v>
      </c>
    </row>
    <row r="23" spans="1:15" ht="13.5" customHeight="1">
      <c r="A23" s="17"/>
      <c r="B23" s="143" t="s">
        <v>48</v>
      </c>
      <c r="C23" s="144">
        <f t="shared" si="10"/>
        <v>15</v>
      </c>
      <c r="D23" s="145">
        <f t="shared" si="11"/>
        <v>67</v>
      </c>
      <c r="E23" s="145">
        <f t="shared" si="11"/>
        <v>119</v>
      </c>
      <c r="F23" s="145">
        <f t="shared" si="11"/>
        <v>171</v>
      </c>
      <c r="G23" s="145">
        <f t="shared" si="11"/>
        <v>223</v>
      </c>
      <c r="H23" s="145">
        <f t="shared" si="11"/>
        <v>275</v>
      </c>
      <c r="I23" s="145">
        <f t="shared" si="11"/>
        <v>327</v>
      </c>
      <c r="J23" s="145">
        <f t="shared" si="11"/>
        <v>379</v>
      </c>
      <c r="K23" s="145">
        <f t="shared" si="11"/>
        <v>431</v>
      </c>
      <c r="L23" s="145">
        <f t="shared" si="11"/>
        <v>483</v>
      </c>
      <c r="M23" s="145">
        <f t="shared" si="7"/>
        <v>535</v>
      </c>
      <c r="N23" s="145">
        <f t="shared" si="7"/>
        <v>587</v>
      </c>
      <c r="O23" s="145">
        <f t="shared" si="7"/>
        <v>639</v>
      </c>
    </row>
    <row r="24" spans="1:15" ht="13.5" customHeight="1">
      <c r="A24" s="17"/>
      <c r="B24" s="138" t="s">
        <v>17</v>
      </c>
      <c r="C24" s="141">
        <f t="shared" si="10"/>
        <v>16</v>
      </c>
      <c r="D24" s="142">
        <f t="shared" si="11"/>
        <v>68</v>
      </c>
      <c r="E24" s="142">
        <f t="shared" si="11"/>
        <v>120</v>
      </c>
      <c r="F24" s="142">
        <f t="shared" si="11"/>
        <v>172</v>
      </c>
      <c r="G24" s="142">
        <f t="shared" si="11"/>
        <v>224</v>
      </c>
      <c r="H24" s="142">
        <f t="shared" si="11"/>
        <v>276</v>
      </c>
      <c r="I24" s="142">
        <f t="shared" si="11"/>
        <v>328</v>
      </c>
      <c r="J24" s="142">
        <f t="shared" si="11"/>
        <v>380</v>
      </c>
      <c r="K24" s="142">
        <f t="shared" si="11"/>
        <v>432</v>
      </c>
      <c r="L24" s="142">
        <f t="shared" si="11"/>
        <v>484</v>
      </c>
      <c r="M24" s="142">
        <f t="shared" si="7"/>
        <v>536</v>
      </c>
      <c r="N24" s="142">
        <f t="shared" si="7"/>
        <v>588</v>
      </c>
      <c r="O24" s="142">
        <f t="shared" si="7"/>
        <v>640</v>
      </c>
    </row>
    <row r="25" spans="1:15" ht="13.5" customHeight="1">
      <c r="A25" s="17"/>
      <c r="B25" s="138" t="s">
        <v>18</v>
      </c>
      <c r="C25" s="141">
        <f t="shared" si="10"/>
        <v>17</v>
      </c>
      <c r="D25" s="142">
        <f t="shared" si="11"/>
        <v>69</v>
      </c>
      <c r="E25" s="142">
        <f t="shared" si="11"/>
        <v>121</v>
      </c>
      <c r="F25" s="142">
        <f t="shared" si="11"/>
        <v>173</v>
      </c>
      <c r="G25" s="142">
        <f t="shared" si="11"/>
        <v>225</v>
      </c>
      <c r="H25" s="142">
        <f t="shared" si="11"/>
        <v>277</v>
      </c>
      <c r="I25" s="142">
        <f t="shared" si="11"/>
        <v>329</v>
      </c>
      <c r="J25" s="142">
        <f t="shared" si="11"/>
        <v>381</v>
      </c>
      <c r="K25" s="142">
        <f t="shared" si="11"/>
        <v>433</v>
      </c>
      <c r="L25" s="142">
        <f t="shared" si="11"/>
        <v>485</v>
      </c>
      <c r="M25" s="142">
        <f t="shared" si="7"/>
        <v>537</v>
      </c>
      <c r="N25" s="142">
        <f t="shared" si="7"/>
        <v>589</v>
      </c>
      <c r="O25" s="142">
        <f t="shared" si="7"/>
        <v>641</v>
      </c>
    </row>
    <row r="26" spans="1:15" ht="13.5" customHeight="1">
      <c r="A26" s="17"/>
      <c r="B26" s="138" t="s">
        <v>19</v>
      </c>
      <c r="C26" s="141">
        <f t="shared" si="10"/>
        <v>18</v>
      </c>
      <c r="D26" s="142">
        <f t="shared" si="11"/>
        <v>70</v>
      </c>
      <c r="E26" s="142">
        <f t="shared" si="11"/>
        <v>122</v>
      </c>
      <c r="F26" s="142">
        <f t="shared" si="11"/>
        <v>174</v>
      </c>
      <c r="G26" s="142">
        <f t="shared" si="11"/>
        <v>226</v>
      </c>
      <c r="H26" s="142">
        <f t="shared" si="11"/>
        <v>278</v>
      </c>
      <c r="I26" s="142">
        <f t="shared" si="11"/>
        <v>330</v>
      </c>
      <c r="J26" s="142">
        <f t="shared" si="11"/>
        <v>382</v>
      </c>
      <c r="K26" s="142">
        <f t="shared" si="11"/>
        <v>434</v>
      </c>
      <c r="L26" s="142">
        <f t="shared" si="11"/>
        <v>486</v>
      </c>
      <c r="M26" s="142">
        <f t="shared" si="7"/>
        <v>538</v>
      </c>
      <c r="N26" s="142">
        <f t="shared" si="7"/>
        <v>590</v>
      </c>
      <c r="O26" s="142">
        <f t="shared" si="7"/>
        <v>642</v>
      </c>
    </row>
    <row r="27" spans="1:15" ht="13.5" customHeight="1">
      <c r="A27" s="17"/>
      <c r="B27" s="138" t="s">
        <v>20</v>
      </c>
      <c r="C27" s="141">
        <f t="shared" si="10"/>
        <v>19</v>
      </c>
      <c r="D27" s="142">
        <f t="shared" si="11"/>
        <v>71</v>
      </c>
      <c r="E27" s="142">
        <f t="shared" si="11"/>
        <v>123</v>
      </c>
      <c r="F27" s="142">
        <f t="shared" si="11"/>
        <v>175</v>
      </c>
      <c r="G27" s="142">
        <f t="shared" si="11"/>
        <v>227</v>
      </c>
      <c r="H27" s="142">
        <f t="shared" si="11"/>
        <v>279</v>
      </c>
      <c r="I27" s="142">
        <f t="shared" si="11"/>
        <v>331</v>
      </c>
      <c r="J27" s="142">
        <f t="shared" si="11"/>
        <v>383</v>
      </c>
      <c r="K27" s="142">
        <f t="shared" si="11"/>
        <v>435</v>
      </c>
      <c r="L27" s="142">
        <f t="shared" si="11"/>
        <v>487</v>
      </c>
      <c r="M27" s="142">
        <f t="shared" si="7"/>
        <v>539</v>
      </c>
      <c r="N27" s="142">
        <f t="shared" si="7"/>
        <v>591</v>
      </c>
      <c r="O27" s="142">
        <f t="shared" si="7"/>
        <v>643</v>
      </c>
    </row>
    <row r="28" spans="1:15" ht="13.5" customHeight="1">
      <c r="A28" s="17"/>
      <c r="B28" s="138" t="s">
        <v>21</v>
      </c>
      <c r="C28" s="141">
        <f t="shared" si="10"/>
        <v>20</v>
      </c>
      <c r="D28" s="142">
        <f t="shared" si="11"/>
        <v>72</v>
      </c>
      <c r="E28" s="142">
        <f t="shared" si="11"/>
        <v>124</v>
      </c>
      <c r="F28" s="142">
        <f t="shared" si="11"/>
        <v>176</v>
      </c>
      <c r="G28" s="142">
        <f t="shared" si="11"/>
        <v>228</v>
      </c>
      <c r="H28" s="142">
        <f t="shared" si="11"/>
        <v>280</v>
      </c>
      <c r="I28" s="142">
        <f t="shared" si="11"/>
        <v>332</v>
      </c>
      <c r="J28" s="142">
        <f t="shared" si="11"/>
        <v>384</v>
      </c>
      <c r="K28" s="142">
        <f t="shared" si="11"/>
        <v>436</v>
      </c>
      <c r="L28" s="142">
        <f t="shared" si="11"/>
        <v>488</v>
      </c>
      <c r="M28" s="142">
        <f t="shared" ref="M28:O59" si="12">L28+M$9</f>
        <v>540</v>
      </c>
      <c r="N28" s="142">
        <f t="shared" si="12"/>
        <v>592</v>
      </c>
      <c r="O28" s="142">
        <f t="shared" si="12"/>
        <v>644</v>
      </c>
    </row>
    <row r="29" spans="1:15" ht="13.5" customHeight="1">
      <c r="A29" s="17"/>
      <c r="B29" s="138" t="s">
        <v>22</v>
      </c>
      <c r="C29" s="141">
        <f t="shared" si="10"/>
        <v>21</v>
      </c>
      <c r="D29" s="142">
        <f t="shared" si="11"/>
        <v>73</v>
      </c>
      <c r="E29" s="142">
        <f t="shared" si="11"/>
        <v>125</v>
      </c>
      <c r="F29" s="142">
        <f t="shared" si="11"/>
        <v>177</v>
      </c>
      <c r="G29" s="142">
        <f t="shared" si="11"/>
        <v>229</v>
      </c>
      <c r="H29" s="142">
        <f t="shared" si="11"/>
        <v>281</v>
      </c>
      <c r="I29" s="142">
        <f t="shared" si="11"/>
        <v>333</v>
      </c>
      <c r="J29" s="142">
        <f t="shared" si="11"/>
        <v>385</v>
      </c>
      <c r="K29" s="142">
        <f t="shared" si="11"/>
        <v>437</v>
      </c>
      <c r="L29" s="142">
        <f t="shared" si="11"/>
        <v>489</v>
      </c>
      <c r="M29" s="142">
        <f t="shared" si="12"/>
        <v>541</v>
      </c>
      <c r="N29" s="142">
        <f t="shared" si="12"/>
        <v>593</v>
      </c>
      <c r="O29" s="142">
        <f t="shared" si="12"/>
        <v>645</v>
      </c>
    </row>
    <row r="30" spans="1:15" ht="13.5" customHeight="1">
      <c r="A30" s="17"/>
      <c r="B30" s="138" t="s">
        <v>23</v>
      </c>
      <c r="C30" s="141">
        <f t="shared" si="10"/>
        <v>22</v>
      </c>
      <c r="D30" s="142">
        <f t="shared" si="11"/>
        <v>74</v>
      </c>
      <c r="E30" s="142">
        <f t="shared" si="11"/>
        <v>126</v>
      </c>
      <c r="F30" s="142">
        <f t="shared" si="11"/>
        <v>178</v>
      </c>
      <c r="G30" s="142">
        <f t="shared" si="11"/>
        <v>230</v>
      </c>
      <c r="H30" s="142">
        <f t="shared" si="11"/>
        <v>282</v>
      </c>
      <c r="I30" s="142">
        <f t="shared" si="11"/>
        <v>334</v>
      </c>
      <c r="J30" s="142">
        <f t="shared" si="11"/>
        <v>386</v>
      </c>
      <c r="K30" s="142">
        <f t="shared" si="11"/>
        <v>438</v>
      </c>
      <c r="L30" s="142">
        <f t="shared" si="11"/>
        <v>490</v>
      </c>
      <c r="M30" s="142">
        <f t="shared" si="12"/>
        <v>542</v>
      </c>
      <c r="N30" s="142">
        <f t="shared" si="12"/>
        <v>594</v>
      </c>
      <c r="O30" s="142">
        <f t="shared" si="12"/>
        <v>646</v>
      </c>
    </row>
    <row r="31" spans="1:15" ht="13.5" customHeight="1">
      <c r="A31" s="17"/>
      <c r="B31" s="138" t="s">
        <v>24</v>
      </c>
      <c r="C31" s="141">
        <f t="shared" si="10"/>
        <v>23</v>
      </c>
      <c r="D31" s="142">
        <f t="shared" si="11"/>
        <v>75</v>
      </c>
      <c r="E31" s="142">
        <f t="shared" si="11"/>
        <v>127</v>
      </c>
      <c r="F31" s="142">
        <f t="shared" si="11"/>
        <v>179</v>
      </c>
      <c r="G31" s="142">
        <f t="shared" si="11"/>
        <v>231</v>
      </c>
      <c r="H31" s="142">
        <f t="shared" si="11"/>
        <v>283</v>
      </c>
      <c r="I31" s="142">
        <f t="shared" si="11"/>
        <v>335</v>
      </c>
      <c r="J31" s="142">
        <f t="shared" si="11"/>
        <v>387</v>
      </c>
      <c r="K31" s="142">
        <f t="shared" si="11"/>
        <v>439</v>
      </c>
      <c r="L31" s="142">
        <f t="shared" si="11"/>
        <v>491</v>
      </c>
      <c r="M31" s="142">
        <f t="shared" si="12"/>
        <v>543</v>
      </c>
      <c r="N31" s="142">
        <f t="shared" si="12"/>
        <v>595</v>
      </c>
      <c r="O31" s="142">
        <f t="shared" si="12"/>
        <v>647</v>
      </c>
    </row>
    <row r="32" spans="1:15" ht="13.5" customHeight="1">
      <c r="A32" s="17"/>
      <c r="B32" s="143" t="s">
        <v>25</v>
      </c>
      <c r="C32" s="144">
        <f t="shared" si="10"/>
        <v>24</v>
      </c>
      <c r="D32" s="145">
        <f t="shared" si="11"/>
        <v>76</v>
      </c>
      <c r="E32" s="145">
        <f t="shared" si="11"/>
        <v>128</v>
      </c>
      <c r="F32" s="145">
        <f t="shared" si="11"/>
        <v>180</v>
      </c>
      <c r="G32" s="145">
        <f t="shared" si="11"/>
        <v>232</v>
      </c>
      <c r="H32" s="145">
        <f t="shared" si="11"/>
        <v>284</v>
      </c>
      <c r="I32" s="145">
        <f t="shared" si="11"/>
        <v>336</v>
      </c>
      <c r="J32" s="145">
        <f t="shared" si="11"/>
        <v>388</v>
      </c>
      <c r="K32" s="145">
        <f t="shared" si="11"/>
        <v>440</v>
      </c>
      <c r="L32" s="145">
        <f t="shared" si="11"/>
        <v>492</v>
      </c>
      <c r="M32" s="145">
        <f t="shared" si="12"/>
        <v>544</v>
      </c>
      <c r="N32" s="145">
        <f t="shared" si="12"/>
        <v>596</v>
      </c>
      <c r="O32" s="145">
        <f t="shared" si="12"/>
        <v>648</v>
      </c>
    </row>
    <row r="33" spans="1:15" ht="13.5" customHeight="1">
      <c r="A33" s="17"/>
      <c r="B33" s="138" t="s">
        <v>26</v>
      </c>
      <c r="C33" s="141">
        <f t="shared" si="10"/>
        <v>25</v>
      </c>
      <c r="D33" s="142">
        <f t="shared" si="11"/>
        <v>77</v>
      </c>
      <c r="E33" s="142">
        <f t="shared" si="11"/>
        <v>129</v>
      </c>
      <c r="F33" s="142">
        <f t="shared" si="11"/>
        <v>181</v>
      </c>
      <c r="G33" s="142">
        <f t="shared" si="11"/>
        <v>233</v>
      </c>
      <c r="H33" s="142">
        <f t="shared" si="11"/>
        <v>285</v>
      </c>
      <c r="I33" s="142">
        <f t="shared" si="11"/>
        <v>337</v>
      </c>
      <c r="J33" s="142">
        <f t="shared" si="11"/>
        <v>389</v>
      </c>
      <c r="K33" s="142">
        <f t="shared" si="11"/>
        <v>441</v>
      </c>
      <c r="L33" s="142">
        <f t="shared" si="11"/>
        <v>493</v>
      </c>
      <c r="M33" s="142">
        <f t="shared" si="12"/>
        <v>545</v>
      </c>
      <c r="N33" s="142">
        <f t="shared" si="12"/>
        <v>597</v>
      </c>
      <c r="O33" s="142">
        <f t="shared" si="12"/>
        <v>649</v>
      </c>
    </row>
    <row r="34" spans="1:15" ht="13.5" customHeight="1">
      <c r="A34" s="17"/>
      <c r="B34" s="138" t="s">
        <v>27</v>
      </c>
      <c r="C34" s="141">
        <f t="shared" si="10"/>
        <v>26</v>
      </c>
      <c r="D34" s="142">
        <f t="shared" si="11"/>
        <v>78</v>
      </c>
      <c r="E34" s="142">
        <f t="shared" si="11"/>
        <v>130</v>
      </c>
      <c r="F34" s="142">
        <f t="shared" si="11"/>
        <v>182</v>
      </c>
      <c r="G34" s="142">
        <f t="shared" si="11"/>
        <v>234</v>
      </c>
      <c r="H34" s="142">
        <f t="shared" si="11"/>
        <v>286</v>
      </c>
      <c r="I34" s="142">
        <f t="shared" si="11"/>
        <v>338</v>
      </c>
      <c r="J34" s="142">
        <f t="shared" si="11"/>
        <v>390</v>
      </c>
      <c r="K34" s="142">
        <f t="shared" si="11"/>
        <v>442</v>
      </c>
      <c r="L34" s="142">
        <f t="shared" si="11"/>
        <v>494</v>
      </c>
      <c r="M34" s="142">
        <f t="shared" si="12"/>
        <v>546</v>
      </c>
      <c r="N34" s="142">
        <f t="shared" si="12"/>
        <v>598</v>
      </c>
      <c r="O34" s="142">
        <f t="shared" si="12"/>
        <v>650</v>
      </c>
    </row>
    <row r="35" spans="1:15" ht="13.5" customHeight="1">
      <c r="A35" s="17"/>
      <c r="B35" s="138" t="s">
        <v>28</v>
      </c>
      <c r="C35" s="141">
        <f t="shared" si="10"/>
        <v>27</v>
      </c>
      <c r="D35" s="142">
        <f t="shared" si="11"/>
        <v>79</v>
      </c>
      <c r="E35" s="142">
        <f t="shared" si="11"/>
        <v>131</v>
      </c>
      <c r="F35" s="142">
        <f t="shared" si="11"/>
        <v>183</v>
      </c>
      <c r="G35" s="142">
        <f t="shared" si="11"/>
        <v>235</v>
      </c>
      <c r="H35" s="142">
        <f t="shared" si="11"/>
        <v>287</v>
      </c>
      <c r="I35" s="142">
        <f t="shared" si="11"/>
        <v>339</v>
      </c>
      <c r="J35" s="142">
        <f t="shared" si="11"/>
        <v>391</v>
      </c>
      <c r="K35" s="142">
        <f t="shared" si="11"/>
        <v>443</v>
      </c>
      <c r="L35" s="142">
        <f t="shared" si="11"/>
        <v>495</v>
      </c>
      <c r="M35" s="142">
        <f t="shared" si="12"/>
        <v>547</v>
      </c>
      <c r="N35" s="142">
        <f t="shared" si="12"/>
        <v>599</v>
      </c>
      <c r="O35" s="142">
        <f t="shared" si="12"/>
        <v>651</v>
      </c>
    </row>
    <row r="36" spans="1:15" ht="13.5" customHeight="1">
      <c r="A36" s="17"/>
      <c r="B36" s="138" t="s">
        <v>29</v>
      </c>
      <c r="C36" s="141">
        <f t="shared" si="10"/>
        <v>28</v>
      </c>
      <c r="D36" s="142">
        <f t="shared" si="11"/>
        <v>80</v>
      </c>
      <c r="E36" s="142">
        <f t="shared" si="11"/>
        <v>132</v>
      </c>
      <c r="F36" s="142">
        <f t="shared" si="11"/>
        <v>184</v>
      </c>
      <c r="G36" s="142">
        <f t="shared" si="11"/>
        <v>236</v>
      </c>
      <c r="H36" s="142">
        <f t="shared" si="11"/>
        <v>288</v>
      </c>
      <c r="I36" s="142">
        <f t="shared" si="11"/>
        <v>340</v>
      </c>
      <c r="J36" s="142">
        <f t="shared" si="11"/>
        <v>392</v>
      </c>
      <c r="K36" s="142">
        <f t="shared" si="11"/>
        <v>444</v>
      </c>
      <c r="L36" s="142">
        <f t="shared" si="11"/>
        <v>496</v>
      </c>
      <c r="M36" s="142">
        <f t="shared" si="12"/>
        <v>548</v>
      </c>
      <c r="N36" s="142">
        <f t="shared" si="12"/>
        <v>600</v>
      </c>
      <c r="O36" s="142">
        <f t="shared" si="12"/>
        <v>652</v>
      </c>
    </row>
    <row r="37" spans="1:15" ht="13.5" customHeight="1">
      <c r="A37" s="17"/>
      <c r="B37" s="138" t="s">
        <v>30</v>
      </c>
      <c r="C37" s="141">
        <f t="shared" si="10"/>
        <v>29</v>
      </c>
      <c r="D37" s="142">
        <f t="shared" si="11"/>
        <v>81</v>
      </c>
      <c r="E37" s="142">
        <f t="shared" si="11"/>
        <v>133</v>
      </c>
      <c r="F37" s="142">
        <f t="shared" si="11"/>
        <v>185</v>
      </c>
      <c r="G37" s="142">
        <f t="shared" si="11"/>
        <v>237</v>
      </c>
      <c r="H37" s="142">
        <f t="shared" si="11"/>
        <v>289</v>
      </c>
      <c r="I37" s="142">
        <f t="shared" si="11"/>
        <v>341</v>
      </c>
      <c r="J37" s="142">
        <f t="shared" si="11"/>
        <v>393</v>
      </c>
      <c r="K37" s="142">
        <f t="shared" si="11"/>
        <v>445</v>
      </c>
      <c r="L37" s="142">
        <f t="shared" si="11"/>
        <v>497</v>
      </c>
      <c r="M37" s="142">
        <f t="shared" si="12"/>
        <v>549</v>
      </c>
      <c r="N37" s="142">
        <f t="shared" si="12"/>
        <v>601</v>
      </c>
      <c r="O37" s="142">
        <f t="shared" si="12"/>
        <v>653</v>
      </c>
    </row>
    <row r="38" spans="1:15" ht="13.5" customHeight="1">
      <c r="A38" s="17"/>
      <c r="B38" s="143" t="s">
        <v>31</v>
      </c>
      <c r="C38" s="144">
        <f t="shared" si="10"/>
        <v>30</v>
      </c>
      <c r="D38" s="145">
        <f t="shared" si="11"/>
        <v>82</v>
      </c>
      <c r="E38" s="145">
        <f t="shared" si="11"/>
        <v>134</v>
      </c>
      <c r="F38" s="145">
        <f t="shared" si="11"/>
        <v>186</v>
      </c>
      <c r="G38" s="145">
        <f t="shared" si="11"/>
        <v>238</v>
      </c>
      <c r="H38" s="145">
        <f t="shared" si="11"/>
        <v>290</v>
      </c>
      <c r="I38" s="145">
        <f t="shared" si="11"/>
        <v>342</v>
      </c>
      <c r="J38" s="145">
        <f t="shared" si="11"/>
        <v>394</v>
      </c>
      <c r="K38" s="145">
        <f t="shared" si="11"/>
        <v>446</v>
      </c>
      <c r="L38" s="145">
        <f t="shared" si="11"/>
        <v>498</v>
      </c>
      <c r="M38" s="145">
        <f t="shared" si="12"/>
        <v>550</v>
      </c>
      <c r="N38" s="145">
        <f t="shared" si="12"/>
        <v>602</v>
      </c>
      <c r="O38" s="145">
        <f t="shared" si="12"/>
        <v>654</v>
      </c>
    </row>
    <row r="39" spans="1:15" ht="13.5" customHeight="1">
      <c r="A39" s="17"/>
      <c r="B39" s="138" t="s">
        <v>32</v>
      </c>
      <c r="C39" s="141">
        <f t="shared" si="10"/>
        <v>31</v>
      </c>
      <c r="D39" s="142">
        <f t="shared" si="11"/>
        <v>83</v>
      </c>
      <c r="E39" s="142">
        <f t="shared" si="11"/>
        <v>135</v>
      </c>
      <c r="F39" s="142">
        <f t="shared" si="11"/>
        <v>187</v>
      </c>
      <c r="G39" s="142">
        <f t="shared" si="11"/>
        <v>239</v>
      </c>
      <c r="H39" s="142">
        <f t="shared" si="11"/>
        <v>291</v>
      </c>
      <c r="I39" s="142">
        <f t="shared" si="11"/>
        <v>343</v>
      </c>
      <c r="J39" s="142">
        <f t="shared" si="11"/>
        <v>395</v>
      </c>
      <c r="K39" s="142">
        <f t="shared" si="11"/>
        <v>447</v>
      </c>
      <c r="L39" s="142">
        <f t="shared" si="11"/>
        <v>499</v>
      </c>
      <c r="M39" s="142">
        <f t="shared" si="12"/>
        <v>551</v>
      </c>
      <c r="N39" s="142">
        <f t="shared" si="12"/>
        <v>603</v>
      </c>
      <c r="O39" s="142">
        <f t="shared" si="12"/>
        <v>655</v>
      </c>
    </row>
    <row r="40" spans="1:15" ht="13.5" customHeight="1">
      <c r="A40" s="17"/>
      <c r="B40" s="138" t="s">
        <v>33</v>
      </c>
      <c r="C40" s="141">
        <f t="shared" si="10"/>
        <v>32</v>
      </c>
      <c r="D40" s="142">
        <f t="shared" si="11"/>
        <v>84</v>
      </c>
      <c r="E40" s="142">
        <f t="shared" si="11"/>
        <v>136</v>
      </c>
      <c r="F40" s="142">
        <f t="shared" ref="E40:L55" si="13">E40+F$9</f>
        <v>188</v>
      </c>
      <c r="G40" s="142">
        <f t="shared" si="13"/>
        <v>240</v>
      </c>
      <c r="H40" s="142">
        <f t="shared" si="13"/>
        <v>292</v>
      </c>
      <c r="I40" s="142">
        <f t="shared" si="13"/>
        <v>344</v>
      </c>
      <c r="J40" s="142">
        <f t="shared" si="13"/>
        <v>396</v>
      </c>
      <c r="K40" s="142">
        <f t="shared" si="13"/>
        <v>448</v>
      </c>
      <c r="L40" s="142">
        <f t="shared" si="13"/>
        <v>500</v>
      </c>
      <c r="M40" s="142">
        <f t="shared" si="12"/>
        <v>552</v>
      </c>
      <c r="N40" s="142">
        <f t="shared" si="12"/>
        <v>604</v>
      </c>
      <c r="O40" s="142">
        <f t="shared" si="12"/>
        <v>656</v>
      </c>
    </row>
    <row r="41" spans="1:15" ht="13.5" customHeight="1">
      <c r="A41" s="17"/>
      <c r="B41" s="138" t="s">
        <v>34</v>
      </c>
      <c r="C41" s="141">
        <f t="shared" si="10"/>
        <v>33</v>
      </c>
      <c r="D41" s="142">
        <f t="shared" si="11"/>
        <v>85</v>
      </c>
      <c r="E41" s="142">
        <f t="shared" si="13"/>
        <v>137</v>
      </c>
      <c r="F41" s="142">
        <f t="shared" si="13"/>
        <v>189</v>
      </c>
      <c r="G41" s="142">
        <f t="shared" si="13"/>
        <v>241</v>
      </c>
      <c r="H41" s="142">
        <f t="shared" si="13"/>
        <v>293</v>
      </c>
      <c r="I41" s="142">
        <f t="shared" si="13"/>
        <v>345</v>
      </c>
      <c r="J41" s="142">
        <f t="shared" si="13"/>
        <v>397</v>
      </c>
      <c r="K41" s="142">
        <f t="shared" si="13"/>
        <v>449</v>
      </c>
      <c r="L41" s="142">
        <f t="shared" si="13"/>
        <v>501</v>
      </c>
      <c r="M41" s="142">
        <f t="shared" si="12"/>
        <v>553</v>
      </c>
      <c r="N41" s="142">
        <f t="shared" si="12"/>
        <v>605</v>
      </c>
      <c r="O41" s="142">
        <f t="shared" si="12"/>
        <v>657</v>
      </c>
    </row>
    <row r="42" spans="1:15" ht="13.5" customHeight="1">
      <c r="A42" s="17"/>
      <c r="B42" s="138" t="s">
        <v>35</v>
      </c>
      <c r="C42" s="141">
        <f t="shared" si="10"/>
        <v>34</v>
      </c>
      <c r="D42" s="142">
        <f t="shared" si="11"/>
        <v>86</v>
      </c>
      <c r="E42" s="142">
        <f t="shared" si="13"/>
        <v>138</v>
      </c>
      <c r="F42" s="142">
        <f t="shared" si="13"/>
        <v>190</v>
      </c>
      <c r="G42" s="142">
        <f t="shared" si="13"/>
        <v>242</v>
      </c>
      <c r="H42" s="142">
        <f t="shared" si="13"/>
        <v>294</v>
      </c>
      <c r="I42" s="142">
        <f t="shared" si="13"/>
        <v>346</v>
      </c>
      <c r="J42" s="142">
        <f t="shared" si="13"/>
        <v>398</v>
      </c>
      <c r="K42" s="142">
        <f t="shared" si="13"/>
        <v>450</v>
      </c>
      <c r="L42" s="142">
        <f t="shared" si="13"/>
        <v>502</v>
      </c>
      <c r="M42" s="142">
        <f t="shared" si="12"/>
        <v>554</v>
      </c>
      <c r="N42" s="142">
        <f t="shared" si="12"/>
        <v>606</v>
      </c>
      <c r="O42" s="142">
        <f t="shared" si="12"/>
        <v>658</v>
      </c>
    </row>
    <row r="43" spans="1:15" ht="13.5" customHeight="1">
      <c r="A43" s="17"/>
      <c r="B43" s="138" t="s">
        <v>36</v>
      </c>
      <c r="C43" s="141">
        <f t="shared" si="10"/>
        <v>35</v>
      </c>
      <c r="D43" s="142">
        <f t="shared" si="11"/>
        <v>87</v>
      </c>
      <c r="E43" s="142">
        <f t="shared" si="13"/>
        <v>139</v>
      </c>
      <c r="F43" s="142">
        <f t="shared" si="13"/>
        <v>191</v>
      </c>
      <c r="G43" s="142">
        <f t="shared" si="13"/>
        <v>243</v>
      </c>
      <c r="H43" s="142">
        <f t="shared" si="13"/>
        <v>295</v>
      </c>
      <c r="I43" s="142">
        <f t="shared" si="13"/>
        <v>347</v>
      </c>
      <c r="J43" s="142">
        <f t="shared" si="13"/>
        <v>399</v>
      </c>
      <c r="K43" s="142">
        <f t="shared" si="13"/>
        <v>451</v>
      </c>
      <c r="L43" s="142">
        <f t="shared" si="13"/>
        <v>503</v>
      </c>
      <c r="M43" s="142">
        <f t="shared" si="12"/>
        <v>555</v>
      </c>
      <c r="N43" s="142">
        <f t="shared" si="12"/>
        <v>607</v>
      </c>
      <c r="O43" s="142">
        <f t="shared" si="12"/>
        <v>659</v>
      </c>
    </row>
    <row r="44" spans="1:15" ht="13.5" customHeight="1">
      <c r="A44" s="17"/>
      <c r="B44" s="138" t="s">
        <v>37</v>
      </c>
      <c r="C44" s="141">
        <f t="shared" si="10"/>
        <v>36</v>
      </c>
      <c r="D44" s="142">
        <f t="shared" si="11"/>
        <v>88</v>
      </c>
      <c r="E44" s="142">
        <f t="shared" si="13"/>
        <v>140</v>
      </c>
      <c r="F44" s="142">
        <f t="shared" si="13"/>
        <v>192</v>
      </c>
      <c r="G44" s="142">
        <f t="shared" si="13"/>
        <v>244</v>
      </c>
      <c r="H44" s="142">
        <f t="shared" si="13"/>
        <v>296</v>
      </c>
      <c r="I44" s="142">
        <f t="shared" si="13"/>
        <v>348</v>
      </c>
      <c r="J44" s="142">
        <f t="shared" si="13"/>
        <v>400</v>
      </c>
      <c r="K44" s="142">
        <f t="shared" si="13"/>
        <v>452</v>
      </c>
      <c r="L44" s="142">
        <f t="shared" si="13"/>
        <v>504</v>
      </c>
      <c r="M44" s="142">
        <f t="shared" si="12"/>
        <v>556</v>
      </c>
      <c r="N44" s="142">
        <f t="shared" si="12"/>
        <v>608</v>
      </c>
      <c r="O44" s="142">
        <f t="shared" si="12"/>
        <v>660</v>
      </c>
    </row>
    <row r="45" spans="1:15" ht="13.5" customHeight="1">
      <c r="A45" s="17"/>
      <c r="B45" s="138" t="s">
        <v>38</v>
      </c>
      <c r="C45" s="141">
        <f t="shared" si="10"/>
        <v>37</v>
      </c>
      <c r="D45" s="142">
        <f t="shared" si="11"/>
        <v>89</v>
      </c>
      <c r="E45" s="142">
        <f t="shared" si="13"/>
        <v>141</v>
      </c>
      <c r="F45" s="142">
        <f t="shared" si="13"/>
        <v>193</v>
      </c>
      <c r="G45" s="142">
        <f t="shared" si="13"/>
        <v>245</v>
      </c>
      <c r="H45" s="142">
        <f t="shared" si="13"/>
        <v>297</v>
      </c>
      <c r="I45" s="142">
        <f t="shared" si="13"/>
        <v>349</v>
      </c>
      <c r="J45" s="142">
        <f t="shared" si="13"/>
        <v>401</v>
      </c>
      <c r="K45" s="142">
        <f t="shared" si="13"/>
        <v>453</v>
      </c>
      <c r="L45" s="142">
        <f t="shared" si="13"/>
        <v>505</v>
      </c>
      <c r="M45" s="142">
        <f t="shared" si="12"/>
        <v>557</v>
      </c>
      <c r="N45" s="142">
        <f t="shared" si="12"/>
        <v>609</v>
      </c>
      <c r="O45" s="142">
        <f t="shared" si="12"/>
        <v>661</v>
      </c>
    </row>
    <row r="46" spans="1:15" ht="13.5" customHeight="1">
      <c r="A46" s="17"/>
      <c r="B46" s="138" t="s">
        <v>39</v>
      </c>
      <c r="C46" s="141">
        <f t="shared" si="10"/>
        <v>38</v>
      </c>
      <c r="D46" s="142">
        <f t="shared" si="11"/>
        <v>90</v>
      </c>
      <c r="E46" s="142">
        <f t="shared" si="13"/>
        <v>142</v>
      </c>
      <c r="F46" s="142">
        <f t="shared" si="13"/>
        <v>194</v>
      </c>
      <c r="G46" s="142">
        <f t="shared" si="13"/>
        <v>246</v>
      </c>
      <c r="H46" s="142">
        <f t="shared" si="13"/>
        <v>298</v>
      </c>
      <c r="I46" s="142">
        <f t="shared" si="13"/>
        <v>350</v>
      </c>
      <c r="J46" s="142">
        <f t="shared" si="13"/>
        <v>402</v>
      </c>
      <c r="K46" s="142">
        <f t="shared" si="13"/>
        <v>454</v>
      </c>
      <c r="L46" s="142">
        <f t="shared" si="13"/>
        <v>506</v>
      </c>
      <c r="M46" s="142">
        <f t="shared" si="12"/>
        <v>558</v>
      </c>
      <c r="N46" s="142">
        <f t="shared" si="12"/>
        <v>610</v>
      </c>
      <c r="O46" s="142">
        <f t="shared" si="12"/>
        <v>662</v>
      </c>
    </row>
    <row r="47" spans="1:15" ht="13.5" customHeight="1">
      <c r="A47" s="17"/>
      <c r="B47" s="138" t="s">
        <v>40</v>
      </c>
      <c r="C47" s="141">
        <f t="shared" si="10"/>
        <v>39</v>
      </c>
      <c r="D47" s="142">
        <f t="shared" si="11"/>
        <v>91</v>
      </c>
      <c r="E47" s="142">
        <f t="shared" si="13"/>
        <v>143</v>
      </c>
      <c r="F47" s="142">
        <f t="shared" si="13"/>
        <v>195</v>
      </c>
      <c r="G47" s="142">
        <f t="shared" si="13"/>
        <v>247</v>
      </c>
      <c r="H47" s="142">
        <f t="shared" si="13"/>
        <v>299</v>
      </c>
      <c r="I47" s="142">
        <f t="shared" si="13"/>
        <v>351</v>
      </c>
      <c r="J47" s="142">
        <f t="shared" si="13"/>
        <v>403</v>
      </c>
      <c r="K47" s="142">
        <f t="shared" si="13"/>
        <v>455</v>
      </c>
      <c r="L47" s="142">
        <f t="shared" si="13"/>
        <v>507</v>
      </c>
      <c r="M47" s="142">
        <f t="shared" si="12"/>
        <v>559</v>
      </c>
      <c r="N47" s="142">
        <f t="shared" si="12"/>
        <v>611</v>
      </c>
      <c r="O47" s="142">
        <f t="shared" si="12"/>
        <v>663</v>
      </c>
    </row>
    <row r="48" spans="1:15" ht="13.5" customHeight="1">
      <c r="A48" s="17"/>
      <c r="B48" s="138" t="s">
        <v>41</v>
      </c>
      <c r="C48" s="141">
        <f t="shared" si="10"/>
        <v>40</v>
      </c>
      <c r="D48" s="142">
        <f t="shared" si="11"/>
        <v>92</v>
      </c>
      <c r="E48" s="142">
        <f t="shared" si="13"/>
        <v>144</v>
      </c>
      <c r="F48" s="142">
        <f t="shared" si="13"/>
        <v>196</v>
      </c>
      <c r="G48" s="142">
        <f t="shared" si="13"/>
        <v>248</v>
      </c>
      <c r="H48" s="142">
        <f t="shared" si="13"/>
        <v>300</v>
      </c>
      <c r="I48" s="142">
        <f t="shared" si="13"/>
        <v>352</v>
      </c>
      <c r="J48" s="142">
        <f t="shared" si="13"/>
        <v>404</v>
      </c>
      <c r="K48" s="142">
        <f t="shared" si="13"/>
        <v>456</v>
      </c>
      <c r="L48" s="142">
        <f t="shared" si="13"/>
        <v>508</v>
      </c>
      <c r="M48" s="142">
        <f t="shared" si="12"/>
        <v>560</v>
      </c>
      <c r="N48" s="142">
        <f t="shared" si="12"/>
        <v>612</v>
      </c>
      <c r="O48" s="142">
        <f t="shared" si="12"/>
        <v>664</v>
      </c>
    </row>
    <row r="49" spans="1:15" ht="13.5" customHeight="1">
      <c r="A49" s="17"/>
      <c r="B49" s="138" t="s">
        <v>49</v>
      </c>
      <c r="C49" s="141">
        <f t="shared" si="10"/>
        <v>41</v>
      </c>
      <c r="D49" s="142">
        <f t="shared" si="11"/>
        <v>93</v>
      </c>
      <c r="E49" s="142">
        <f t="shared" si="13"/>
        <v>145</v>
      </c>
      <c r="F49" s="142">
        <f t="shared" si="13"/>
        <v>197</v>
      </c>
      <c r="G49" s="142">
        <f t="shared" si="13"/>
        <v>249</v>
      </c>
      <c r="H49" s="142">
        <f t="shared" si="13"/>
        <v>301</v>
      </c>
      <c r="I49" s="142">
        <f t="shared" si="13"/>
        <v>353</v>
      </c>
      <c r="J49" s="142">
        <f t="shared" si="13"/>
        <v>405</v>
      </c>
      <c r="K49" s="142">
        <f t="shared" si="13"/>
        <v>457</v>
      </c>
      <c r="L49" s="142">
        <f t="shared" si="13"/>
        <v>509</v>
      </c>
      <c r="M49" s="142">
        <f t="shared" si="12"/>
        <v>561</v>
      </c>
      <c r="N49" s="142">
        <f t="shared" si="12"/>
        <v>613</v>
      </c>
      <c r="O49" s="142">
        <f t="shared" si="12"/>
        <v>665</v>
      </c>
    </row>
    <row r="50" spans="1:15" ht="13.5" customHeight="1">
      <c r="A50" s="17"/>
      <c r="B50" s="143" t="s">
        <v>50</v>
      </c>
      <c r="C50" s="144">
        <f t="shared" si="10"/>
        <v>42</v>
      </c>
      <c r="D50" s="145">
        <f t="shared" si="11"/>
        <v>94</v>
      </c>
      <c r="E50" s="145">
        <f t="shared" si="13"/>
        <v>146</v>
      </c>
      <c r="F50" s="145">
        <f t="shared" si="13"/>
        <v>198</v>
      </c>
      <c r="G50" s="145">
        <f t="shared" si="13"/>
        <v>250</v>
      </c>
      <c r="H50" s="145">
        <f t="shared" si="13"/>
        <v>302</v>
      </c>
      <c r="I50" s="145">
        <f t="shared" si="13"/>
        <v>354</v>
      </c>
      <c r="J50" s="145">
        <f t="shared" si="13"/>
        <v>406</v>
      </c>
      <c r="K50" s="145">
        <f t="shared" si="13"/>
        <v>458</v>
      </c>
      <c r="L50" s="145">
        <f t="shared" si="13"/>
        <v>510</v>
      </c>
      <c r="M50" s="145">
        <f t="shared" si="12"/>
        <v>562</v>
      </c>
      <c r="N50" s="145">
        <f t="shared" si="12"/>
        <v>614</v>
      </c>
      <c r="O50" s="145">
        <f t="shared" si="12"/>
        <v>666</v>
      </c>
    </row>
    <row r="51" spans="1:15" ht="13.5" customHeight="1">
      <c r="A51" s="17"/>
      <c r="B51" s="143" t="s">
        <v>42</v>
      </c>
      <c r="C51" s="144">
        <f t="shared" si="10"/>
        <v>43</v>
      </c>
      <c r="D51" s="145">
        <f t="shared" si="11"/>
        <v>95</v>
      </c>
      <c r="E51" s="145">
        <f t="shared" si="13"/>
        <v>147</v>
      </c>
      <c r="F51" s="145">
        <f t="shared" si="13"/>
        <v>199</v>
      </c>
      <c r="G51" s="145">
        <f t="shared" si="13"/>
        <v>251</v>
      </c>
      <c r="H51" s="145">
        <f t="shared" si="13"/>
        <v>303</v>
      </c>
      <c r="I51" s="145">
        <f t="shared" si="13"/>
        <v>355</v>
      </c>
      <c r="J51" s="145">
        <f t="shared" si="13"/>
        <v>407</v>
      </c>
      <c r="K51" s="145">
        <f t="shared" si="13"/>
        <v>459</v>
      </c>
      <c r="L51" s="145">
        <f t="shared" si="13"/>
        <v>511</v>
      </c>
      <c r="M51" s="145">
        <f t="shared" si="12"/>
        <v>563</v>
      </c>
      <c r="N51" s="145">
        <f t="shared" si="12"/>
        <v>615</v>
      </c>
      <c r="O51" s="145">
        <f t="shared" si="12"/>
        <v>667</v>
      </c>
    </row>
    <row r="52" spans="1:15" ht="13.5" customHeight="1">
      <c r="A52" s="17"/>
      <c r="B52" s="138" t="s">
        <v>43</v>
      </c>
      <c r="C52" s="141">
        <f t="shared" si="10"/>
        <v>44</v>
      </c>
      <c r="D52" s="142">
        <f t="shared" si="11"/>
        <v>96</v>
      </c>
      <c r="E52" s="142">
        <f t="shared" si="13"/>
        <v>148</v>
      </c>
      <c r="F52" s="142">
        <f t="shared" si="13"/>
        <v>200</v>
      </c>
      <c r="G52" s="142">
        <f t="shared" si="13"/>
        <v>252</v>
      </c>
      <c r="H52" s="142">
        <f t="shared" si="13"/>
        <v>304</v>
      </c>
      <c r="I52" s="142">
        <f t="shared" si="13"/>
        <v>356</v>
      </c>
      <c r="J52" s="142">
        <f t="shared" si="13"/>
        <v>408</v>
      </c>
      <c r="K52" s="142">
        <f t="shared" si="13"/>
        <v>460</v>
      </c>
      <c r="L52" s="142">
        <f t="shared" si="13"/>
        <v>512</v>
      </c>
      <c r="M52" s="142">
        <f t="shared" si="12"/>
        <v>564</v>
      </c>
      <c r="N52" s="142">
        <f t="shared" si="12"/>
        <v>616</v>
      </c>
      <c r="O52" s="142">
        <f t="shared" si="12"/>
        <v>668</v>
      </c>
    </row>
    <row r="53" spans="1:15" ht="13.5" customHeight="1">
      <c r="A53" s="17"/>
      <c r="B53" s="143" t="s">
        <v>44</v>
      </c>
      <c r="C53" s="144">
        <f t="shared" si="10"/>
        <v>45</v>
      </c>
      <c r="D53" s="145">
        <f t="shared" si="11"/>
        <v>97</v>
      </c>
      <c r="E53" s="145">
        <f t="shared" si="13"/>
        <v>149</v>
      </c>
      <c r="F53" s="145">
        <f t="shared" si="13"/>
        <v>201</v>
      </c>
      <c r="G53" s="145">
        <f t="shared" si="13"/>
        <v>253</v>
      </c>
      <c r="H53" s="145">
        <f t="shared" si="13"/>
        <v>305</v>
      </c>
      <c r="I53" s="145">
        <f t="shared" si="13"/>
        <v>357</v>
      </c>
      <c r="J53" s="145">
        <f t="shared" si="13"/>
        <v>409</v>
      </c>
      <c r="K53" s="145">
        <f t="shared" si="13"/>
        <v>461</v>
      </c>
      <c r="L53" s="145">
        <f t="shared" si="13"/>
        <v>513</v>
      </c>
      <c r="M53" s="145">
        <f t="shared" si="12"/>
        <v>565</v>
      </c>
      <c r="N53" s="145">
        <f t="shared" si="12"/>
        <v>617</v>
      </c>
      <c r="O53" s="145">
        <f t="shared" si="12"/>
        <v>669</v>
      </c>
    </row>
    <row r="54" spans="1:15" ht="13.5" customHeight="1">
      <c r="A54" s="156"/>
      <c r="B54" s="146" t="s">
        <v>139</v>
      </c>
      <c r="C54" s="141">
        <f t="shared" si="10"/>
        <v>46</v>
      </c>
      <c r="D54" s="142">
        <f t="shared" si="11"/>
        <v>98</v>
      </c>
      <c r="E54" s="142">
        <f t="shared" si="13"/>
        <v>150</v>
      </c>
      <c r="F54" s="142">
        <f t="shared" si="13"/>
        <v>202</v>
      </c>
      <c r="G54" s="142">
        <f t="shared" si="13"/>
        <v>254</v>
      </c>
      <c r="H54" s="142">
        <f t="shared" si="13"/>
        <v>306</v>
      </c>
      <c r="I54" s="142">
        <f t="shared" si="13"/>
        <v>358</v>
      </c>
      <c r="J54" s="142">
        <f t="shared" si="13"/>
        <v>410</v>
      </c>
      <c r="K54" s="142">
        <f t="shared" si="13"/>
        <v>462</v>
      </c>
      <c r="L54" s="142">
        <f t="shared" si="13"/>
        <v>514</v>
      </c>
      <c r="M54" s="142">
        <f t="shared" si="12"/>
        <v>566</v>
      </c>
      <c r="N54" s="142">
        <f t="shared" si="12"/>
        <v>618</v>
      </c>
      <c r="O54" s="142">
        <f t="shared" si="12"/>
        <v>670</v>
      </c>
    </row>
    <row r="55" spans="1:15" ht="13.5" customHeight="1">
      <c r="A55" s="156"/>
      <c r="B55" s="138" t="s">
        <v>140</v>
      </c>
      <c r="C55" s="141">
        <f t="shared" si="10"/>
        <v>47</v>
      </c>
      <c r="D55" s="142">
        <f t="shared" si="11"/>
        <v>99</v>
      </c>
      <c r="E55" s="142">
        <f t="shared" si="13"/>
        <v>151</v>
      </c>
      <c r="F55" s="142">
        <f t="shared" si="13"/>
        <v>203</v>
      </c>
      <c r="G55" s="142">
        <f t="shared" si="13"/>
        <v>255</v>
      </c>
      <c r="H55" s="142">
        <f t="shared" si="13"/>
        <v>307</v>
      </c>
      <c r="I55" s="142">
        <f t="shared" si="13"/>
        <v>359</v>
      </c>
      <c r="J55" s="142">
        <f t="shared" si="13"/>
        <v>411</v>
      </c>
      <c r="K55" s="142">
        <f t="shared" si="13"/>
        <v>463</v>
      </c>
      <c r="L55" s="142">
        <f t="shared" si="13"/>
        <v>515</v>
      </c>
      <c r="M55" s="142">
        <f t="shared" si="12"/>
        <v>567</v>
      </c>
      <c r="N55" s="142">
        <f t="shared" si="12"/>
        <v>619</v>
      </c>
      <c r="O55" s="142">
        <f t="shared" si="12"/>
        <v>671</v>
      </c>
    </row>
    <row r="56" spans="1:15" ht="13.5" customHeight="1">
      <c r="A56" s="156"/>
      <c r="B56" s="138" t="s">
        <v>141</v>
      </c>
      <c r="C56" s="141">
        <f t="shared" si="10"/>
        <v>48</v>
      </c>
      <c r="D56" s="142">
        <f t="shared" si="11"/>
        <v>100</v>
      </c>
      <c r="E56" s="142">
        <f t="shared" ref="E56:L59" si="14">D56+E$9</f>
        <v>152</v>
      </c>
      <c r="F56" s="142">
        <f t="shared" si="14"/>
        <v>204</v>
      </c>
      <c r="G56" s="142">
        <f t="shared" si="14"/>
        <v>256</v>
      </c>
      <c r="H56" s="142">
        <f t="shared" si="14"/>
        <v>308</v>
      </c>
      <c r="I56" s="142">
        <f t="shared" si="14"/>
        <v>360</v>
      </c>
      <c r="J56" s="142">
        <f t="shared" si="14"/>
        <v>412</v>
      </c>
      <c r="K56" s="142">
        <f t="shared" si="14"/>
        <v>464</v>
      </c>
      <c r="L56" s="142">
        <f t="shared" si="14"/>
        <v>516</v>
      </c>
      <c r="M56" s="142">
        <f t="shared" si="12"/>
        <v>568</v>
      </c>
      <c r="N56" s="142">
        <f t="shared" si="12"/>
        <v>620</v>
      </c>
      <c r="O56" s="142">
        <f t="shared" si="12"/>
        <v>672</v>
      </c>
    </row>
    <row r="57" spans="1:15" ht="13.5" customHeight="1">
      <c r="A57" s="156"/>
      <c r="B57" s="138" t="s">
        <v>142</v>
      </c>
      <c r="C57" s="141">
        <f t="shared" si="10"/>
        <v>49</v>
      </c>
      <c r="D57" s="142">
        <f t="shared" si="11"/>
        <v>101</v>
      </c>
      <c r="E57" s="142">
        <f t="shared" si="14"/>
        <v>153</v>
      </c>
      <c r="F57" s="142">
        <f t="shared" si="14"/>
        <v>205</v>
      </c>
      <c r="G57" s="142">
        <f t="shared" si="14"/>
        <v>257</v>
      </c>
      <c r="H57" s="142">
        <f t="shared" si="14"/>
        <v>309</v>
      </c>
      <c r="I57" s="142">
        <f t="shared" si="14"/>
        <v>361</v>
      </c>
      <c r="J57" s="142">
        <f t="shared" si="14"/>
        <v>413</v>
      </c>
      <c r="K57" s="142">
        <f t="shared" si="14"/>
        <v>465</v>
      </c>
      <c r="L57" s="142">
        <f t="shared" si="14"/>
        <v>517</v>
      </c>
      <c r="M57" s="142">
        <f t="shared" si="12"/>
        <v>569</v>
      </c>
      <c r="N57" s="142">
        <f t="shared" si="12"/>
        <v>621</v>
      </c>
      <c r="O57" s="142">
        <f t="shared" si="12"/>
        <v>673</v>
      </c>
    </row>
    <row r="58" spans="1:15" ht="13.5" customHeight="1">
      <c r="A58" s="156"/>
      <c r="B58" s="138" t="s">
        <v>143</v>
      </c>
      <c r="C58" s="141">
        <f t="shared" si="10"/>
        <v>50</v>
      </c>
      <c r="D58" s="142">
        <f t="shared" si="11"/>
        <v>102</v>
      </c>
      <c r="E58" s="142">
        <f t="shared" si="14"/>
        <v>154</v>
      </c>
      <c r="F58" s="142">
        <f t="shared" si="14"/>
        <v>206</v>
      </c>
      <c r="G58" s="142">
        <f t="shared" si="14"/>
        <v>258</v>
      </c>
      <c r="H58" s="142">
        <f t="shared" si="14"/>
        <v>310</v>
      </c>
      <c r="I58" s="142">
        <f t="shared" si="14"/>
        <v>362</v>
      </c>
      <c r="J58" s="142">
        <f t="shared" si="14"/>
        <v>414</v>
      </c>
      <c r="K58" s="142">
        <f t="shared" si="14"/>
        <v>466</v>
      </c>
      <c r="L58" s="142">
        <f t="shared" si="14"/>
        <v>518</v>
      </c>
      <c r="M58" s="142">
        <f t="shared" si="12"/>
        <v>570</v>
      </c>
      <c r="N58" s="142">
        <f t="shared" si="12"/>
        <v>622</v>
      </c>
      <c r="O58" s="142">
        <f t="shared" si="12"/>
        <v>674</v>
      </c>
    </row>
    <row r="59" spans="1:15" ht="13.5" customHeight="1">
      <c r="A59" s="156"/>
      <c r="B59" s="143" t="s">
        <v>144</v>
      </c>
      <c r="C59" s="144">
        <f t="shared" si="10"/>
        <v>51</v>
      </c>
      <c r="D59" s="145">
        <f t="shared" si="11"/>
        <v>103</v>
      </c>
      <c r="E59" s="145">
        <f t="shared" si="14"/>
        <v>155</v>
      </c>
      <c r="F59" s="145">
        <f t="shared" si="14"/>
        <v>207</v>
      </c>
      <c r="G59" s="145">
        <f t="shared" si="14"/>
        <v>259</v>
      </c>
      <c r="H59" s="145">
        <f t="shared" si="14"/>
        <v>311</v>
      </c>
      <c r="I59" s="145">
        <f t="shared" si="14"/>
        <v>363</v>
      </c>
      <c r="J59" s="145">
        <f t="shared" si="14"/>
        <v>415</v>
      </c>
      <c r="K59" s="145">
        <f t="shared" si="14"/>
        <v>467</v>
      </c>
      <c r="L59" s="145">
        <f t="shared" si="14"/>
        <v>519</v>
      </c>
      <c r="M59" s="145">
        <f t="shared" si="12"/>
        <v>571</v>
      </c>
      <c r="N59" s="145">
        <f t="shared" si="12"/>
        <v>623</v>
      </c>
      <c r="O59" s="145">
        <f t="shared" si="12"/>
        <v>675</v>
      </c>
    </row>
    <row r="60" spans="1:15" ht="13.5" customHeight="1">
      <c r="A60" s="59"/>
      <c r="B60" s="87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</row>
    <row r="61" spans="1:15" ht="13.5" customHeight="1">
      <c r="A61" s="104" t="s">
        <v>163</v>
      </c>
      <c r="B61" s="104"/>
      <c r="L61" s="41"/>
      <c r="M61" s="41"/>
      <c r="N61" s="41"/>
      <c r="O61" s="41"/>
    </row>
    <row r="62" spans="1:15" ht="13.5" customHeight="1">
      <c r="L62" s="41"/>
      <c r="M62" s="41"/>
      <c r="N62" s="41"/>
      <c r="O62" s="41"/>
    </row>
    <row r="63" spans="1:15" ht="13.5" customHeight="1">
      <c r="B63" s="42" t="s">
        <v>96</v>
      </c>
      <c r="C63" s="42"/>
      <c r="L63" s="41"/>
      <c r="M63" s="41"/>
      <c r="N63" s="41"/>
      <c r="O63" s="41"/>
    </row>
    <row r="64" spans="1:15" ht="13.5" customHeight="1" thickBot="1">
      <c r="B64" s="42"/>
      <c r="C64" s="42"/>
      <c r="L64" s="41"/>
      <c r="M64" s="41"/>
      <c r="N64" s="41"/>
      <c r="O64" s="41"/>
    </row>
    <row r="65" spans="2:15" ht="13.5" customHeight="1" thickBot="1">
      <c r="B65" s="196" t="s">
        <v>170</v>
      </c>
      <c r="C65" s="197"/>
      <c r="L65" s="41"/>
      <c r="M65" s="41"/>
      <c r="N65" s="41"/>
      <c r="O65" s="41"/>
    </row>
    <row r="66" spans="2:15" ht="13.5" customHeight="1">
      <c r="C66" s="125"/>
      <c r="L66" s="41"/>
      <c r="M66" s="41"/>
      <c r="N66" s="41"/>
      <c r="O66" s="41"/>
    </row>
    <row r="67" spans="2:15" ht="13.5" customHeight="1">
      <c r="B67" s="47" t="s">
        <v>129</v>
      </c>
      <c r="C67" s="47" t="s">
        <v>135</v>
      </c>
      <c r="D67" s="47" t="s">
        <v>169</v>
      </c>
    </row>
    <row r="68" spans="2:15" ht="13.5" customHeight="1">
      <c r="B68" s="120" t="s">
        <v>51</v>
      </c>
      <c r="C68" s="89">
        <v>1</v>
      </c>
      <c r="D68" s="89" t="s">
        <v>76</v>
      </c>
      <c r="E68" s="24" t="s">
        <v>168</v>
      </c>
    </row>
    <row r="69" spans="2:15" ht="13.5" customHeight="1">
      <c r="B69" s="121" t="s">
        <v>52</v>
      </c>
      <c r="C69" s="90">
        <f>C68+1</f>
        <v>2</v>
      </c>
      <c r="D69" s="91" t="s">
        <v>77</v>
      </c>
      <c r="E69" s="24" t="s">
        <v>171</v>
      </c>
    </row>
    <row r="70" spans="2:15" ht="13.5" customHeight="1">
      <c r="B70" s="121" t="s">
        <v>53</v>
      </c>
      <c r="C70" s="90">
        <f t="shared" ref="C70:C93" si="15">C69+1</f>
        <v>3</v>
      </c>
      <c r="D70" s="91" t="s">
        <v>78</v>
      </c>
      <c r="L70" s="41"/>
      <c r="M70" s="41"/>
      <c r="N70" s="41"/>
      <c r="O70" s="41"/>
    </row>
    <row r="71" spans="2:15" ht="13.5" customHeight="1">
      <c r="B71" s="121" t="s">
        <v>54</v>
      </c>
      <c r="C71" s="90">
        <f t="shared" si="15"/>
        <v>4</v>
      </c>
      <c r="D71" s="91" t="s">
        <v>79</v>
      </c>
    </row>
    <row r="72" spans="2:15" ht="13.5" customHeight="1">
      <c r="B72" s="121" t="s">
        <v>55</v>
      </c>
      <c r="C72" s="90">
        <f t="shared" si="15"/>
        <v>5</v>
      </c>
      <c r="D72" s="91" t="s">
        <v>80</v>
      </c>
    </row>
    <row r="73" spans="2:15" ht="13.5" customHeight="1">
      <c r="B73" s="121" t="s">
        <v>56</v>
      </c>
      <c r="C73" s="90">
        <f t="shared" si="15"/>
        <v>6</v>
      </c>
      <c r="D73" s="91" t="s">
        <v>81</v>
      </c>
    </row>
    <row r="74" spans="2:15" ht="13.5" customHeight="1">
      <c r="B74" s="121" t="s">
        <v>57</v>
      </c>
      <c r="C74" s="90">
        <f t="shared" si="15"/>
        <v>7</v>
      </c>
      <c r="D74" s="91" t="s">
        <v>82</v>
      </c>
    </row>
    <row r="75" spans="2:15" ht="13.5" customHeight="1">
      <c r="B75" s="121" t="s">
        <v>58</v>
      </c>
      <c r="C75" s="90">
        <f t="shared" si="15"/>
        <v>8</v>
      </c>
      <c r="D75" s="91" t="s">
        <v>83</v>
      </c>
    </row>
    <row r="76" spans="2:15" ht="13.5" customHeight="1">
      <c r="B76" s="121" t="s">
        <v>59</v>
      </c>
      <c r="C76" s="90">
        <f t="shared" si="15"/>
        <v>9</v>
      </c>
      <c r="D76" s="91" t="s">
        <v>84</v>
      </c>
    </row>
    <row r="77" spans="2:15" ht="13.5" customHeight="1">
      <c r="B77" s="121" t="s">
        <v>60</v>
      </c>
      <c r="C77" s="90">
        <f t="shared" si="15"/>
        <v>10</v>
      </c>
      <c r="D77" s="91" t="s">
        <v>85</v>
      </c>
    </row>
    <row r="78" spans="2:15" ht="13.5" customHeight="1">
      <c r="B78" s="121" t="s">
        <v>61</v>
      </c>
      <c r="C78" s="90">
        <f t="shared" si="15"/>
        <v>11</v>
      </c>
      <c r="D78" s="91" t="s">
        <v>86</v>
      </c>
    </row>
    <row r="79" spans="2:15" ht="13.5" customHeight="1">
      <c r="B79" s="121" t="s">
        <v>62</v>
      </c>
      <c r="C79" s="90">
        <f t="shared" si="15"/>
        <v>12</v>
      </c>
      <c r="D79" s="91" t="s">
        <v>87</v>
      </c>
    </row>
    <row r="80" spans="2:15" ht="13.5" customHeight="1">
      <c r="B80" s="121" t="s">
        <v>63</v>
      </c>
      <c r="C80" s="90">
        <f t="shared" si="15"/>
        <v>13</v>
      </c>
      <c r="D80" s="91" t="s">
        <v>88</v>
      </c>
    </row>
    <row r="81" spans="1:4" ht="13.5" customHeight="1">
      <c r="B81" s="121" t="s">
        <v>64</v>
      </c>
      <c r="C81" s="90">
        <f t="shared" si="15"/>
        <v>14</v>
      </c>
      <c r="D81" s="91" t="s">
        <v>89</v>
      </c>
    </row>
    <row r="82" spans="1:4" ht="13.5" customHeight="1">
      <c r="B82" s="121" t="s">
        <v>65</v>
      </c>
      <c r="C82" s="90">
        <f t="shared" si="15"/>
        <v>15</v>
      </c>
      <c r="D82" s="91" t="s">
        <v>90</v>
      </c>
    </row>
    <row r="83" spans="1:4" ht="13.5" customHeight="1">
      <c r="B83" s="121" t="s">
        <v>66</v>
      </c>
      <c r="C83" s="90">
        <f t="shared" si="15"/>
        <v>16</v>
      </c>
      <c r="D83" s="91" t="s">
        <v>91</v>
      </c>
    </row>
    <row r="84" spans="1:4" ht="13.5" customHeight="1">
      <c r="B84" s="121" t="s">
        <v>67</v>
      </c>
      <c r="C84" s="90">
        <f t="shared" si="15"/>
        <v>17</v>
      </c>
      <c r="D84" s="91" t="s">
        <v>92</v>
      </c>
    </row>
    <row r="85" spans="1:4" ht="13.5" customHeight="1">
      <c r="B85" s="121" t="s">
        <v>68</v>
      </c>
      <c r="C85" s="90">
        <f t="shared" si="15"/>
        <v>18</v>
      </c>
      <c r="D85" s="91" t="s">
        <v>93</v>
      </c>
    </row>
    <row r="86" spans="1:4" ht="13.5" customHeight="1">
      <c r="B86" s="121" t="s">
        <v>137</v>
      </c>
      <c r="C86" s="90">
        <f t="shared" si="15"/>
        <v>19</v>
      </c>
      <c r="D86" s="91" t="s">
        <v>130</v>
      </c>
    </row>
    <row r="87" spans="1:4" ht="13.5" customHeight="1">
      <c r="B87" s="121" t="s">
        <v>69</v>
      </c>
      <c r="C87" s="90">
        <f t="shared" si="15"/>
        <v>20</v>
      </c>
      <c r="D87" s="91" t="s">
        <v>105</v>
      </c>
    </row>
    <row r="88" spans="1:4" ht="13.5" customHeight="1" thickBot="1">
      <c r="B88" s="122" t="s">
        <v>136</v>
      </c>
      <c r="C88" s="94">
        <f t="shared" si="15"/>
        <v>21</v>
      </c>
      <c r="D88" s="95" t="s">
        <v>131</v>
      </c>
    </row>
    <row r="89" spans="1:4" ht="13.5" customHeight="1" thickTop="1">
      <c r="B89" s="121" t="s">
        <v>72</v>
      </c>
      <c r="C89" s="90">
        <f t="shared" si="15"/>
        <v>22</v>
      </c>
      <c r="D89" s="91" t="s">
        <v>132</v>
      </c>
    </row>
    <row r="90" spans="1:4" ht="13.5" customHeight="1">
      <c r="B90" s="123" t="s">
        <v>73</v>
      </c>
      <c r="C90" s="90">
        <f t="shared" si="15"/>
        <v>23</v>
      </c>
      <c r="D90" s="91" t="s">
        <v>133</v>
      </c>
    </row>
    <row r="91" spans="1:4" ht="13.5" customHeight="1">
      <c r="B91" s="124" t="s">
        <v>74</v>
      </c>
      <c r="C91" s="92">
        <f t="shared" si="15"/>
        <v>24</v>
      </c>
      <c r="D91" s="93" t="s">
        <v>134</v>
      </c>
    </row>
    <row r="92" spans="1:4" ht="13.5" customHeight="1">
      <c r="B92" s="274" t="s">
        <v>281</v>
      </c>
      <c r="C92" s="275">
        <f t="shared" si="15"/>
        <v>25</v>
      </c>
      <c r="D92" s="89" t="s">
        <v>283</v>
      </c>
    </row>
    <row r="93" spans="1:4" ht="13.5" customHeight="1">
      <c r="B93" s="124" t="s">
        <v>282</v>
      </c>
      <c r="C93" s="92">
        <f t="shared" si="15"/>
        <v>26</v>
      </c>
      <c r="D93" s="93" t="s">
        <v>284</v>
      </c>
    </row>
    <row r="94" spans="1:4" ht="13.5" customHeight="1">
      <c r="C94" s="88"/>
    </row>
    <row r="96" spans="1:4" ht="13.5" customHeight="1">
      <c r="A96" s="104" t="s">
        <v>164</v>
      </c>
      <c r="B96" s="104"/>
    </row>
    <row r="98" spans="2:15" ht="13.5" customHeight="1">
      <c r="B98" s="42" t="s">
        <v>267</v>
      </c>
      <c r="C98" s="42"/>
      <c r="G98" s="41"/>
    </row>
    <row r="99" spans="2:15" ht="13.5" customHeight="1" thickBot="1">
      <c r="D99" s="5"/>
      <c r="E99" s="5"/>
    </row>
    <row r="100" spans="2:15" ht="13.5" customHeight="1" thickBot="1">
      <c r="B100" s="132" t="s">
        <v>161</v>
      </c>
      <c r="C100" s="131">
        <f>INDEX(B108:D155,MATCH(地域分析BD!B2,B108:B155,0),3)</f>
        <v>5</v>
      </c>
      <c r="D100" s="5"/>
      <c r="E100" s="132" t="s">
        <v>145</v>
      </c>
      <c r="F100" s="131">
        <f>C7-C6</f>
        <v>52</v>
      </c>
    </row>
    <row r="101" spans="2:15" ht="13.5" customHeight="1">
      <c r="D101" s="125"/>
      <c r="G101" s="125"/>
    </row>
    <row r="102" spans="2:15" ht="13.5" customHeight="1">
      <c r="B102" s="128"/>
      <c r="C102" s="126">
        <f>C$10</f>
        <v>23</v>
      </c>
      <c r="D102" s="126">
        <f t="shared" ref="D102:O102" si="16">D$10</f>
        <v>24</v>
      </c>
      <c r="E102" s="126">
        <f t="shared" si="16"/>
        <v>25</v>
      </c>
      <c r="F102" s="126">
        <f t="shared" si="16"/>
        <v>26</v>
      </c>
      <c r="G102" s="126">
        <f t="shared" si="16"/>
        <v>27</v>
      </c>
      <c r="H102" s="126">
        <f t="shared" si="16"/>
        <v>28</v>
      </c>
      <c r="I102" s="126">
        <f t="shared" si="16"/>
        <v>29</v>
      </c>
      <c r="J102" s="126">
        <f t="shared" si="16"/>
        <v>30</v>
      </c>
      <c r="K102" s="126">
        <f t="shared" si="16"/>
        <v>1</v>
      </c>
      <c r="L102" s="126">
        <f t="shared" si="16"/>
        <v>2</v>
      </c>
      <c r="M102" s="126">
        <f t="shared" si="16"/>
        <v>3</v>
      </c>
      <c r="N102" s="126">
        <f t="shared" si="16"/>
        <v>4</v>
      </c>
      <c r="O102" s="126">
        <f t="shared" si="16"/>
        <v>5</v>
      </c>
    </row>
    <row r="103" spans="2:15" ht="13.5" customHeight="1">
      <c r="B103" s="129"/>
      <c r="C103" s="127">
        <f>C$11</f>
        <v>2011</v>
      </c>
      <c r="D103" s="127">
        <f t="shared" ref="D103:O103" si="17">D$11</f>
        <v>2012</v>
      </c>
      <c r="E103" s="127">
        <f t="shared" si="17"/>
        <v>2013</v>
      </c>
      <c r="F103" s="127">
        <f t="shared" si="17"/>
        <v>2014</v>
      </c>
      <c r="G103" s="127">
        <f t="shared" si="17"/>
        <v>2015</v>
      </c>
      <c r="H103" s="127">
        <f t="shared" si="17"/>
        <v>2016</v>
      </c>
      <c r="I103" s="127">
        <f t="shared" si="17"/>
        <v>2017</v>
      </c>
      <c r="J103" s="127">
        <f t="shared" si="17"/>
        <v>2018</v>
      </c>
      <c r="K103" s="127">
        <f t="shared" si="17"/>
        <v>2019</v>
      </c>
      <c r="L103" s="127">
        <f t="shared" si="17"/>
        <v>2020</v>
      </c>
      <c r="M103" s="127">
        <f t="shared" si="17"/>
        <v>2021</v>
      </c>
      <c r="N103" s="127">
        <f t="shared" si="17"/>
        <v>2022</v>
      </c>
      <c r="O103" s="127">
        <f t="shared" si="17"/>
        <v>2023</v>
      </c>
    </row>
    <row r="104" spans="2:15" ht="13.5" customHeight="1">
      <c r="B104" s="133" t="s">
        <v>167</v>
      </c>
      <c r="C104" s="134">
        <f>C100</f>
        <v>5</v>
      </c>
      <c r="D104" s="135">
        <f t="shared" ref="D104:L104" si="18">C104+$F100</f>
        <v>57</v>
      </c>
      <c r="E104" s="135">
        <f t="shared" si="18"/>
        <v>109</v>
      </c>
      <c r="F104" s="135">
        <f t="shared" si="18"/>
        <v>161</v>
      </c>
      <c r="G104" s="135">
        <f t="shared" si="18"/>
        <v>213</v>
      </c>
      <c r="H104" s="135">
        <f t="shared" si="18"/>
        <v>265</v>
      </c>
      <c r="I104" s="135">
        <f t="shared" si="18"/>
        <v>317</v>
      </c>
      <c r="J104" s="135">
        <f t="shared" si="18"/>
        <v>369</v>
      </c>
      <c r="K104" s="135">
        <f t="shared" si="18"/>
        <v>421</v>
      </c>
      <c r="L104" s="135">
        <f t="shared" si="18"/>
        <v>473</v>
      </c>
      <c r="M104" s="135">
        <f t="shared" ref="M104" si="19">L104+$F100</f>
        <v>525</v>
      </c>
      <c r="N104" s="135">
        <f t="shared" ref="N104:O104" si="20">M104+$F100</f>
        <v>577</v>
      </c>
      <c r="O104" s="135">
        <f t="shared" si="20"/>
        <v>629</v>
      </c>
    </row>
    <row r="105" spans="2:15" ht="13.5" customHeight="1">
      <c r="D105" s="125"/>
      <c r="G105" s="125"/>
    </row>
    <row r="106" spans="2:15" ht="13.5" customHeight="1" thickBot="1">
      <c r="B106" s="42" t="s">
        <v>221</v>
      </c>
      <c r="D106" s="125"/>
      <c r="F106" s="42" t="s">
        <v>222</v>
      </c>
      <c r="G106" s="125"/>
    </row>
    <row r="107" spans="2:15" ht="13.5" customHeight="1">
      <c r="B107" s="68" t="s">
        <v>166</v>
      </c>
      <c r="C107" s="68" t="s">
        <v>258</v>
      </c>
      <c r="D107" s="147" t="s">
        <v>165</v>
      </c>
      <c r="F107" s="170" t="s">
        <v>172</v>
      </c>
      <c r="G107" s="68" t="s">
        <v>206</v>
      </c>
      <c r="H107" s="170" t="s">
        <v>173</v>
      </c>
      <c r="I107" s="184" t="s">
        <v>225</v>
      </c>
      <c r="J107" s="178" t="s">
        <v>224</v>
      </c>
      <c r="K107" s="185" t="s">
        <v>223</v>
      </c>
    </row>
    <row r="108" spans="2:15" ht="13.5" customHeight="1">
      <c r="B108" s="89" t="s">
        <v>138</v>
      </c>
      <c r="C108" s="148" t="s">
        <v>138</v>
      </c>
      <c r="D108" s="130">
        <f>$C$6</f>
        <v>4</v>
      </c>
      <c r="E108" s="86"/>
      <c r="F108" s="171" t="s">
        <v>174</v>
      </c>
      <c r="G108" s="107" t="s">
        <v>197</v>
      </c>
      <c r="H108" s="169">
        <v>23</v>
      </c>
      <c r="I108" s="179">
        <f>IF(J108="","",IF(J108=23,"",IF(J108=1,30,(J108-1))))</f>
        <v>3</v>
      </c>
      <c r="J108" s="182">
        <f>IF(K108="","",IF(K108=23,"",IF(K108=1,30,(K108-1))))</f>
        <v>4</v>
      </c>
      <c r="K108" s="180">
        <f>INDEX(F108:H130,MATCH(地域分析!E2,F108:F130,0),3)</f>
        <v>5</v>
      </c>
    </row>
    <row r="109" spans="2:15" ht="13.5" customHeight="1">
      <c r="B109" s="91" t="s">
        <v>2</v>
      </c>
      <c r="C109" s="149" t="s">
        <v>142</v>
      </c>
      <c r="D109" s="108">
        <f t="shared" ref="D109:D155" si="21">D108+1</f>
        <v>5</v>
      </c>
      <c r="F109" s="172" t="s">
        <v>175</v>
      </c>
      <c r="G109" s="107" t="s">
        <v>198</v>
      </c>
      <c r="H109" s="177">
        <f>H108+1</f>
        <v>24</v>
      </c>
      <c r="I109" s="179" t="str">
        <f>IF(I108="","",INDEX(F108:H130,MATCH(I108,H108:H130,0),1))</f>
        <v>令和３年度</v>
      </c>
      <c r="J109" s="183" t="str">
        <f>IF(J108="","",INDEX(F108:H130,MATCH(J108,H108:H130,0),1))</f>
        <v>令和４年度</v>
      </c>
      <c r="K109" s="180" t="str">
        <f>INDEX(F108:H130,MATCH(K108,H108:H130,0),1)</f>
        <v>令和５年度</v>
      </c>
    </row>
    <row r="110" spans="2:15" ht="13.5" customHeight="1" thickBot="1">
      <c r="B110" s="91" t="s">
        <v>4</v>
      </c>
      <c r="C110" s="149" t="s">
        <v>140</v>
      </c>
      <c r="D110" s="108">
        <f t="shared" si="21"/>
        <v>6</v>
      </c>
      <c r="F110" s="172" t="s">
        <v>176</v>
      </c>
      <c r="G110" s="107" t="s">
        <v>199</v>
      </c>
      <c r="H110" s="177">
        <f t="shared" ref="H110:H115" si="22">H109+1</f>
        <v>25</v>
      </c>
      <c r="I110" s="181" t="str">
        <f>IF(I108="","",INDEX(F108:H130,MATCH(I108,H108:H130,0),2))</f>
        <v>R3</v>
      </c>
      <c r="J110" s="176" t="str">
        <f>IF(J108="","",INDEX(F108:H130,MATCH(J108,H108:H130,0),2))</f>
        <v>R4</v>
      </c>
      <c r="K110" s="175" t="str">
        <f>INDEX(F108:H130,MATCH(K108,H108:H130,0),2)</f>
        <v>R5</v>
      </c>
    </row>
    <row r="111" spans="2:15" ht="13.5" customHeight="1">
      <c r="B111" s="91" t="s">
        <v>6</v>
      </c>
      <c r="C111" s="149" t="s">
        <v>144</v>
      </c>
      <c r="D111" s="108">
        <f t="shared" si="21"/>
        <v>7</v>
      </c>
      <c r="F111" s="172" t="s">
        <v>177</v>
      </c>
      <c r="G111" s="107" t="s">
        <v>200</v>
      </c>
      <c r="H111" s="174">
        <f t="shared" si="22"/>
        <v>26</v>
      </c>
      <c r="K111" s="82" t="s">
        <v>276</v>
      </c>
    </row>
    <row r="112" spans="2:15" ht="13.5" customHeight="1">
      <c r="B112" s="91" t="s">
        <v>8</v>
      </c>
      <c r="C112" s="149" t="s">
        <v>140</v>
      </c>
      <c r="D112" s="108">
        <f t="shared" si="21"/>
        <v>8</v>
      </c>
      <c r="F112" s="172" t="s">
        <v>178</v>
      </c>
      <c r="G112" s="107" t="s">
        <v>201</v>
      </c>
      <c r="H112" s="174">
        <f t="shared" si="22"/>
        <v>27</v>
      </c>
    </row>
    <row r="113" spans="2:8" ht="13.5" customHeight="1">
      <c r="B113" s="91" t="s">
        <v>10</v>
      </c>
      <c r="C113" s="149" t="s">
        <v>139</v>
      </c>
      <c r="D113" s="108">
        <f t="shared" si="21"/>
        <v>9</v>
      </c>
      <c r="F113" s="172" t="s">
        <v>179</v>
      </c>
      <c r="G113" s="107" t="s">
        <v>202</v>
      </c>
      <c r="H113" s="174">
        <f t="shared" si="22"/>
        <v>28</v>
      </c>
    </row>
    <row r="114" spans="2:8" ht="13.5" customHeight="1">
      <c r="B114" s="91" t="s">
        <v>12</v>
      </c>
      <c r="C114" s="149" t="s">
        <v>141</v>
      </c>
      <c r="D114" s="108">
        <f t="shared" si="21"/>
        <v>10</v>
      </c>
      <c r="F114" s="172" t="s">
        <v>180</v>
      </c>
      <c r="G114" s="107" t="s">
        <v>203</v>
      </c>
      <c r="H114" s="174">
        <f t="shared" si="22"/>
        <v>29</v>
      </c>
    </row>
    <row r="115" spans="2:8" ht="13.5" customHeight="1">
      <c r="B115" s="91" t="s">
        <v>14</v>
      </c>
      <c r="C115" s="149" t="s">
        <v>140</v>
      </c>
      <c r="D115" s="108">
        <f t="shared" si="21"/>
        <v>11</v>
      </c>
      <c r="F115" s="172" t="s">
        <v>181</v>
      </c>
      <c r="G115" s="107" t="s">
        <v>204</v>
      </c>
      <c r="H115" s="174">
        <f t="shared" si="22"/>
        <v>30</v>
      </c>
    </row>
    <row r="116" spans="2:8" ht="13.5" customHeight="1">
      <c r="B116" s="91" t="s">
        <v>45</v>
      </c>
      <c r="C116" s="149" t="s">
        <v>141</v>
      </c>
      <c r="D116" s="108">
        <f t="shared" si="21"/>
        <v>12</v>
      </c>
      <c r="F116" s="172" t="s">
        <v>182</v>
      </c>
      <c r="G116" s="107" t="s">
        <v>205</v>
      </c>
      <c r="H116" s="107">
        <v>1</v>
      </c>
    </row>
    <row r="117" spans="2:8" ht="13.5" customHeight="1">
      <c r="B117" s="91" t="s">
        <v>46</v>
      </c>
      <c r="C117" s="149" t="s">
        <v>140</v>
      </c>
      <c r="D117" s="108">
        <f t="shared" si="21"/>
        <v>13</v>
      </c>
      <c r="F117" s="172" t="s">
        <v>183</v>
      </c>
      <c r="G117" s="107" t="s">
        <v>207</v>
      </c>
      <c r="H117" s="174">
        <f>H116+1</f>
        <v>2</v>
      </c>
    </row>
    <row r="118" spans="2:8" ht="13.5" customHeight="1">
      <c r="B118" s="91" t="s">
        <v>47</v>
      </c>
      <c r="C118" s="149" t="s">
        <v>143</v>
      </c>
      <c r="D118" s="108">
        <f t="shared" si="21"/>
        <v>14</v>
      </c>
      <c r="F118" s="172" t="s">
        <v>184</v>
      </c>
      <c r="G118" s="107" t="s">
        <v>208</v>
      </c>
      <c r="H118" s="174">
        <f t="shared" ref="H118:H130" si="23">H117+1</f>
        <v>3</v>
      </c>
    </row>
    <row r="119" spans="2:8" ht="13.5" customHeight="1">
      <c r="B119" s="91" t="s">
        <v>48</v>
      </c>
      <c r="C119" s="149" t="s">
        <v>141</v>
      </c>
      <c r="D119" s="108">
        <f t="shared" si="21"/>
        <v>15</v>
      </c>
      <c r="F119" s="172" t="s">
        <v>185</v>
      </c>
      <c r="G119" s="107" t="s">
        <v>209</v>
      </c>
      <c r="H119" s="174">
        <f t="shared" si="23"/>
        <v>4</v>
      </c>
    </row>
    <row r="120" spans="2:8" ht="13.5" customHeight="1">
      <c r="B120" s="91" t="s">
        <v>17</v>
      </c>
      <c r="C120" s="149" t="s">
        <v>139</v>
      </c>
      <c r="D120" s="108">
        <f t="shared" si="21"/>
        <v>16</v>
      </c>
      <c r="F120" s="172" t="s">
        <v>186</v>
      </c>
      <c r="G120" s="107" t="s">
        <v>210</v>
      </c>
      <c r="H120" s="174">
        <f t="shared" si="23"/>
        <v>5</v>
      </c>
    </row>
    <row r="121" spans="2:8" ht="13.5" customHeight="1">
      <c r="B121" s="91" t="s">
        <v>18</v>
      </c>
      <c r="C121" s="149" t="s">
        <v>139</v>
      </c>
      <c r="D121" s="108">
        <f t="shared" si="21"/>
        <v>17</v>
      </c>
      <c r="F121" s="172" t="s">
        <v>187</v>
      </c>
      <c r="G121" s="107" t="s">
        <v>211</v>
      </c>
      <c r="H121" s="174">
        <f t="shared" si="23"/>
        <v>6</v>
      </c>
    </row>
    <row r="122" spans="2:8" ht="13.5" customHeight="1">
      <c r="B122" s="91" t="s">
        <v>19</v>
      </c>
      <c r="C122" s="149" t="s">
        <v>139</v>
      </c>
      <c r="D122" s="108">
        <f t="shared" si="21"/>
        <v>18</v>
      </c>
      <c r="F122" s="172" t="s">
        <v>188</v>
      </c>
      <c r="G122" s="107" t="s">
        <v>212</v>
      </c>
      <c r="H122" s="174">
        <f t="shared" si="23"/>
        <v>7</v>
      </c>
    </row>
    <row r="123" spans="2:8" ht="13.5" customHeight="1">
      <c r="B123" s="91" t="s">
        <v>20</v>
      </c>
      <c r="C123" s="149" t="s">
        <v>139</v>
      </c>
      <c r="D123" s="108">
        <f t="shared" si="21"/>
        <v>19</v>
      </c>
      <c r="F123" s="172" t="s">
        <v>189</v>
      </c>
      <c r="G123" s="107" t="s">
        <v>213</v>
      </c>
      <c r="H123" s="174">
        <f t="shared" si="23"/>
        <v>8</v>
      </c>
    </row>
    <row r="124" spans="2:8" ht="13.5" customHeight="1">
      <c r="B124" s="91" t="s">
        <v>21</v>
      </c>
      <c r="C124" s="149" t="s">
        <v>139</v>
      </c>
      <c r="D124" s="108">
        <f t="shared" si="21"/>
        <v>20</v>
      </c>
      <c r="F124" s="172" t="s">
        <v>190</v>
      </c>
      <c r="G124" s="107" t="s">
        <v>214</v>
      </c>
      <c r="H124" s="174">
        <f t="shared" si="23"/>
        <v>9</v>
      </c>
    </row>
    <row r="125" spans="2:8" ht="13.5" customHeight="1">
      <c r="B125" s="91" t="s">
        <v>22</v>
      </c>
      <c r="C125" s="149" t="s">
        <v>139</v>
      </c>
      <c r="D125" s="108">
        <f t="shared" si="21"/>
        <v>21</v>
      </c>
      <c r="F125" s="172" t="s">
        <v>191</v>
      </c>
      <c r="G125" s="107" t="s">
        <v>215</v>
      </c>
      <c r="H125" s="174">
        <f t="shared" si="23"/>
        <v>10</v>
      </c>
    </row>
    <row r="126" spans="2:8" ht="13.5" customHeight="1">
      <c r="B126" s="91" t="s">
        <v>23</v>
      </c>
      <c r="C126" s="149" t="s">
        <v>139</v>
      </c>
      <c r="D126" s="108">
        <f t="shared" si="21"/>
        <v>22</v>
      </c>
      <c r="F126" s="172" t="s">
        <v>192</v>
      </c>
      <c r="G126" s="107" t="s">
        <v>216</v>
      </c>
      <c r="H126" s="174">
        <f t="shared" si="23"/>
        <v>11</v>
      </c>
    </row>
    <row r="127" spans="2:8" ht="13.5" customHeight="1">
      <c r="B127" s="91" t="s">
        <v>24</v>
      </c>
      <c r="C127" s="149" t="s">
        <v>139</v>
      </c>
      <c r="D127" s="108">
        <f t="shared" si="21"/>
        <v>23</v>
      </c>
      <c r="F127" s="172" t="s">
        <v>193</v>
      </c>
      <c r="G127" s="107" t="s">
        <v>217</v>
      </c>
      <c r="H127" s="174">
        <f t="shared" si="23"/>
        <v>12</v>
      </c>
    </row>
    <row r="128" spans="2:8" ht="13.5" customHeight="1">
      <c r="B128" s="91" t="s">
        <v>25</v>
      </c>
      <c r="C128" s="149" t="s">
        <v>139</v>
      </c>
      <c r="D128" s="108">
        <f t="shared" si="21"/>
        <v>24</v>
      </c>
      <c r="F128" s="172" t="s">
        <v>194</v>
      </c>
      <c r="G128" s="107" t="s">
        <v>218</v>
      </c>
      <c r="H128" s="174">
        <f t="shared" si="23"/>
        <v>13</v>
      </c>
    </row>
    <row r="129" spans="2:8" ht="13.5" customHeight="1">
      <c r="B129" s="91" t="s">
        <v>26</v>
      </c>
      <c r="C129" s="149" t="s">
        <v>140</v>
      </c>
      <c r="D129" s="108">
        <f t="shared" si="21"/>
        <v>25</v>
      </c>
      <c r="F129" s="172" t="s">
        <v>195</v>
      </c>
      <c r="G129" s="107" t="s">
        <v>219</v>
      </c>
      <c r="H129" s="174">
        <f t="shared" si="23"/>
        <v>14</v>
      </c>
    </row>
    <row r="130" spans="2:8" ht="13.5" customHeight="1">
      <c r="B130" s="107" t="s">
        <v>27</v>
      </c>
      <c r="C130" s="149" t="s">
        <v>140</v>
      </c>
      <c r="D130" s="108">
        <f t="shared" si="21"/>
        <v>26</v>
      </c>
      <c r="F130" s="173" t="s">
        <v>196</v>
      </c>
      <c r="G130" s="152" t="s">
        <v>220</v>
      </c>
      <c r="H130" s="127">
        <f t="shared" si="23"/>
        <v>15</v>
      </c>
    </row>
    <row r="131" spans="2:8" ht="13.5" customHeight="1">
      <c r="B131" s="107" t="s">
        <v>28</v>
      </c>
      <c r="C131" s="149" t="s">
        <v>140</v>
      </c>
      <c r="D131" s="108">
        <f t="shared" si="21"/>
        <v>27</v>
      </c>
    </row>
    <row r="132" spans="2:8" ht="13.5" customHeight="1">
      <c r="B132" s="107" t="s">
        <v>29</v>
      </c>
      <c r="C132" s="149" t="s">
        <v>140</v>
      </c>
      <c r="D132" s="108">
        <f t="shared" si="21"/>
        <v>28</v>
      </c>
    </row>
    <row r="133" spans="2:8" ht="13.5" customHeight="1">
      <c r="B133" s="107" t="s">
        <v>30</v>
      </c>
      <c r="C133" s="149" t="s">
        <v>140</v>
      </c>
      <c r="D133" s="108">
        <f t="shared" si="21"/>
        <v>29</v>
      </c>
    </row>
    <row r="134" spans="2:8" ht="13.5" customHeight="1">
      <c r="B134" s="107" t="s">
        <v>31</v>
      </c>
      <c r="C134" s="149" t="s">
        <v>140</v>
      </c>
      <c r="D134" s="108">
        <f t="shared" si="21"/>
        <v>30</v>
      </c>
    </row>
    <row r="135" spans="2:8" ht="13.5" customHeight="1">
      <c r="B135" s="107" t="s">
        <v>32</v>
      </c>
      <c r="C135" s="149" t="s">
        <v>141</v>
      </c>
      <c r="D135" s="108">
        <f t="shared" si="21"/>
        <v>31</v>
      </c>
    </row>
    <row r="136" spans="2:8" ht="13.5" customHeight="1">
      <c r="B136" s="107" t="s">
        <v>33</v>
      </c>
      <c r="C136" s="149" t="s">
        <v>141</v>
      </c>
      <c r="D136" s="108">
        <f t="shared" si="21"/>
        <v>32</v>
      </c>
    </row>
    <row r="137" spans="2:8" ht="13.5" customHeight="1">
      <c r="B137" s="107" t="s">
        <v>34</v>
      </c>
      <c r="C137" s="149" t="s">
        <v>141</v>
      </c>
      <c r="D137" s="108">
        <f t="shared" si="21"/>
        <v>33</v>
      </c>
    </row>
    <row r="138" spans="2:8" ht="13.5" customHeight="1">
      <c r="B138" s="107" t="s">
        <v>35</v>
      </c>
      <c r="C138" s="149" t="s">
        <v>141</v>
      </c>
      <c r="D138" s="108">
        <f t="shared" si="21"/>
        <v>34</v>
      </c>
    </row>
    <row r="139" spans="2:8" ht="13.5" customHeight="1">
      <c r="B139" s="107" t="s">
        <v>36</v>
      </c>
      <c r="C139" s="149" t="s">
        <v>141</v>
      </c>
      <c r="D139" s="108">
        <f t="shared" si="21"/>
        <v>35</v>
      </c>
    </row>
    <row r="140" spans="2:8" ht="13.5" customHeight="1">
      <c r="B140" s="107" t="s">
        <v>37</v>
      </c>
      <c r="C140" s="149" t="s">
        <v>141</v>
      </c>
      <c r="D140" s="108">
        <f t="shared" si="21"/>
        <v>36</v>
      </c>
    </row>
    <row r="141" spans="2:8" ht="13.5" customHeight="1">
      <c r="B141" s="107" t="s">
        <v>38</v>
      </c>
      <c r="C141" s="149" t="s">
        <v>141</v>
      </c>
      <c r="D141" s="108">
        <f t="shared" si="21"/>
        <v>37</v>
      </c>
    </row>
    <row r="142" spans="2:8" ht="13.5" customHeight="1">
      <c r="B142" s="107" t="s">
        <v>39</v>
      </c>
      <c r="C142" s="149" t="s">
        <v>141</v>
      </c>
      <c r="D142" s="108">
        <f t="shared" si="21"/>
        <v>38</v>
      </c>
    </row>
    <row r="143" spans="2:8" ht="13.5" customHeight="1">
      <c r="B143" s="107" t="s">
        <v>40</v>
      </c>
      <c r="C143" s="149" t="s">
        <v>139</v>
      </c>
      <c r="D143" s="108">
        <f t="shared" si="21"/>
        <v>39</v>
      </c>
    </row>
    <row r="144" spans="2:8" ht="13.5" customHeight="1">
      <c r="B144" s="107" t="s">
        <v>41</v>
      </c>
      <c r="C144" s="149" t="s">
        <v>139</v>
      </c>
      <c r="D144" s="108">
        <f t="shared" si="21"/>
        <v>40</v>
      </c>
    </row>
    <row r="145" spans="2:4" ht="13.5" customHeight="1">
      <c r="B145" s="107" t="s">
        <v>49</v>
      </c>
      <c r="C145" s="149" t="s">
        <v>141</v>
      </c>
      <c r="D145" s="108">
        <f t="shared" si="21"/>
        <v>41</v>
      </c>
    </row>
    <row r="146" spans="2:4" ht="13.5" customHeight="1">
      <c r="B146" s="107" t="s">
        <v>50</v>
      </c>
      <c r="C146" s="149" t="s">
        <v>141</v>
      </c>
      <c r="D146" s="108">
        <f t="shared" si="21"/>
        <v>42</v>
      </c>
    </row>
    <row r="147" spans="2:4" ht="13.5" customHeight="1">
      <c r="B147" s="107" t="s">
        <v>42</v>
      </c>
      <c r="C147" s="149" t="s">
        <v>143</v>
      </c>
      <c r="D147" s="108">
        <f t="shared" si="21"/>
        <v>43</v>
      </c>
    </row>
    <row r="148" spans="2:4" ht="13.5" customHeight="1">
      <c r="B148" s="107" t="s">
        <v>43</v>
      </c>
      <c r="C148" s="149" t="s">
        <v>144</v>
      </c>
      <c r="D148" s="108">
        <f t="shared" si="21"/>
        <v>44</v>
      </c>
    </row>
    <row r="149" spans="2:4" ht="13.5" customHeight="1">
      <c r="B149" s="107" t="s">
        <v>44</v>
      </c>
      <c r="C149" s="149" t="s">
        <v>144</v>
      </c>
      <c r="D149" s="108">
        <f t="shared" si="21"/>
        <v>45</v>
      </c>
    </row>
    <row r="150" spans="2:4" ht="13.5" customHeight="1">
      <c r="B150" s="107" t="s">
        <v>139</v>
      </c>
      <c r="C150" s="150" t="s">
        <v>139</v>
      </c>
      <c r="D150" s="108">
        <f t="shared" si="21"/>
        <v>46</v>
      </c>
    </row>
    <row r="151" spans="2:4" ht="13.5" customHeight="1">
      <c r="B151" s="107" t="s">
        <v>140</v>
      </c>
      <c r="C151" s="150" t="s">
        <v>140</v>
      </c>
      <c r="D151" s="108">
        <f t="shared" si="21"/>
        <v>47</v>
      </c>
    </row>
    <row r="152" spans="2:4" ht="13.5" customHeight="1">
      <c r="B152" s="107" t="s">
        <v>141</v>
      </c>
      <c r="C152" s="150" t="s">
        <v>141</v>
      </c>
      <c r="D152" s="108">
        <f t="shared" si="21"/>
        <v>48</v>
      </c>
    </row>
    <row r="153" spans="2:4" ht="13.5" customHeight="1">
      <c r="B153" s="107" t="s">
        <v>142</v>
      </c>
      <c r="C153" s="150" t="s">
        <v>142</v>
      </c>
      <c r="D153" s="108">
        <f t="shared" si="21"/>
        <v>49</v>
      </c>
    </row>
    <row r="154" spans="2:4" ht="13.5" customHeight="1">
      <c r="B154" s="107" t="s">
        <v>143</v>
      </c>
      <c r="C154" s="150" t="s">
        <v>143</v>
      </c>
      <c r="D154" s="108">
        <f t="shared" si="21"/>
        <v>50</v>
      </c>
    </row>
    <row r="155" spans="2:4" ht="13.5" customHeight="1">
      <c r="B155" s="152" t="s">
        <v>144</v>
      </c>
      <c r="C155" s="151" t="s">
        <v>144</v>
      </c>
      <c r="D155" s="109">
        <f t="shared" si="21"/>
        <v>51</v>
      </c>
    </row>
  </sheetData>
  <phoneticPr fontId="3"/>
  <printOptions headings="1"/>
  <pageMargins left="0.78740157480314965" right="0.70866141732283472" top="0.74803149606299213" bottom="0.74803149606299213" header="0.31496062992125984" footer="0.31496062992125984"/>
  <pageSetup paperSize="9" scale="56" orientation="landscape" r:id="rId1"/>
  <headerFooter>
    <oddHeader>&amp;R&amp;"ＭＳ ゴシック,標準"&amp;10&amp;D</oddHeader>
  </headerFooter>
  <rowBreaks count="2" manualBreakCount="2">
    <brk id="59" max="14" man="1"/>
    <brk id="94" max="14" man="1"/>
  </rowBreaks>
  <ignoredErrors>
    <ignoredError sqref="C12:L59 C69:C9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経済活動別〔統計表〕</vt:lpstr>
      <vt:lpstr>地域分析</vt:lpstr>
      <vt:lpstr>地域分析BD</vt:lpstr>
      <vt:lpstr>コード表</vt:lpstr>
      <vt:lpstr>コード表!Print_Area</vt:lpstr>
      <vt:lpstr>経済活動別〔統計表〕!Print_Area</vt:lpstr>
      <vt:lpstr>地域分析!Print_Area</vt:lpstr>
      <vt:lpstr>地域分析BD!Print_Area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沖縄県</cp:lastModifiedBy>
  <cp:lastPrinted>2023-07-21T01:25:26Z</cp:lastPrinted>
  <dcterms:created xsi:type="dcterms:W3CDTF">2023-06-02T05:29:26Z</dcterms:created>
  <dcterms:modified xsi:type="dcterms:W3CDTF">2026-07-10T01:32:55Z</dcterms:modified>
</cp:coreProperties>
</file>