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NFSVNAS01\share\企画部\統計課\03 企画分析班\100 県民経済、市町村民所得\市民共通\R4市町村民経済計算\市町村民報告書\報告書・公表\R4報告書\1_R4HP用\５　提出（→管理資料班へ）\"/>
    </mc:Choice>
  </mc:AlternateContent>
  <xr:revisionPtr revIDLastSave="0" documentId="13_ncr:1_{ACBF31C5-4675-4A70-9A7C-04143AD28C0A}" xr6:coauthVersionLast="47" xr6:coauthVersionMax="47" xr10:uidLastSave="{00000000-0000-0000-0000-000000000000}"/>
  <workbookProtection workbookAlgorithmName="SHA-512" workbookHashValue="0pBD53UEPjXI/IfZweLWUFVEPEtNDc3sbn3zTwRqmSk8mdDIo5iDpsnGDrYxciN0z46iCsogMv7SRnU4APzHiQ==" workbookSaltValue="fdNoDNXjyCtADblbE3mNlQ==" workbookSpinCount="100000" lockStructure="1"/>
  <bookViews>
    <workbookView xWindow="-120" yWindow="-120" windowWidth="29040" windowHeight="15720" firstSheet="1" activeTab="1" xr2:uid="{00000000-000D-0000-FFFF-FFFF00000000}"/>
  </bookViews>
  <sheets>
    <sheet name="経済活動別〔統計表〕" sheetId="10" state="hidden" r:id="rId1"/>
    <sheet name="地域分析" sheetId="9" r:id="rId2"/>
    <sheet name="地域分析BD" sheetId="16" state="hidden" r:id="rId3"/>
    <sheet name="コード表" sheetId="12" state="hidden" r:id="rId4"/>
  </sheets>
  <definedNames>
    <definedName name="_xlnm.Print_Area" localSheetId="3">コード表!$A$1:$N$155</definedName>
    <definedName name="_xlnm.Print_Area" localSheetId="0">経済活動別〔統計表〕!$A$1:$AB$624</definedName>
    <definedName name="_xlnm.Print_Area" localSheetId="1">地域分析!$A$1:$K$95</definedName>
    <definedName name="_xlnm.Print_Area" localSheetId="2">地域分析BD!$A$1:$N$236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16" l="1"/>
  <c r="C101" i="16"/>
  <c r="C177" i="16"/>
  <c r="K176" i="16"/>
  <c r="C176" i="16"/>
  <c r="Q30" i="16"/>
  <c r="C92" i="12" l="1"/>
  <c r="C93" i="12" s="1"/>
  <c r="C574" i="10" l="1"/>
  <c r="L4" i="16" l="1"/>
  <c r="C522" i="10"/>
  <c r="L132" i="16" l="1"/>
  <c r="L176" i="16"/>
  <c r="L162" i="16"/>
  <c r="L36" i="16"/>
  <c r="M4" i="16"/>
  <c r="M176" i="16" s="1"/>
  <c r="L100" i="16"/>
  <c r="L68" i="16"/>
  <c r="L208" i="16"/>
  <c r="A1" i="16"/>
  <c r="N4" i="16" l="1"/>
  <c r="N176" i="16" s="1"/>
  <c r="M162" i="16"/>
  <c r="M36" i="16"/>
  <c r="M208" i="16"/>
  <c r="M100" i="16"/>
  <c r="M132" i="16"/>
  <c r="M68" i="16"/>
  <c r="Q135" i="16"/>
  <c r="D164" i="16"/>
  <c r="E164" i="16" l="1"/>
  <c r="N132" i="16"/>
  <c r="N36" i="16"/>
  <c r="N208" i="16"/>
  <c r="N100" i="16"/>
  <c r="N68" i="16"/>
  <c r="N162" i="16"/>
  <c r="C163" i="16"/>
  <c r="K162" i="16"/>
  <c r="C162" i="16"/>
  <c r="F164" i="16" l="1"/>
  <c r="Q66" i="16"/>
  <c r="Q130" i="16"/>
  <c r="Q134" i="16" s="1"/>
  <c r="Q126" i="16"/>
  <c r="Q168" i="16"/>
  <c r="Q4" i="16"/>
  <c r="B206" i="16"/>
  <c r="C209" i="16"/>
  <c r="K208" i="16"/>
  <c r="C208" i="16"/>
  <c r="C133" i="16"/>
  <c r="K132" i="16"/>
  <c r="C132" i="16"/>
  <c r="G164" i="16" l="1"/>
  <c r="H117" i="12"/>
  <c r="H118" i="12" s="1"/>
  <c r="H109" i="12"/>
  <c r="H110" i="12" s="1"/>
  <c r="H111" i="12" s="1"/>
  <c r="H112" i="12" s="1"/>
  <c r="H113" i="12" s="1"/>
  <c r="H114" i="12" s="1"/>
  <c r="H115" i="12" s="1"/>
  <c r="H164" i="16" l="1"/>
  <c r="H119" i="12"/>
  <c r="H120" i="12" s="1"/>
  <c r="H121" i="12" s="1"/>
  <c r="H122" i="12" s="1"/>
  <c r="H123" i="12" s="1"/>
  <c r="H124" i="12" s="1"/>
  <c r="H125" i="12" s="1"/>
  <c r="H126" i="12" s="1"/>
  <c r="H127" i="12" s="1"/>
  <c r="H128" i="12" s="1"/>
  <c r="H129" i="12" s="1"/>
  <c r="H130" i="12" s="1"/>
  <c r="K108" i="12"/>
  <c r="K110" i="12" s="1"/>
  <c r="K5" i="9" s="1"/>
  <c r="B2" i="16"/>
  <c r="K100" i="16"/>
  <c r="I164" i="16" l="1"/>
  <c r="A2" i="16"/>
  <c r="A174" i="16" s="1"/>
  <c r="Q29" i="16"/>
  <c r="K109" i="12"/>
  <c r="E5" i="9" s="1"/>
  <c r="J108" i="12"/>
  <c r="J110" i="12" s="1"/>
  <c r="I5" i="9"/>
  <c r="G5" i="9"/>
  <c r="B98" i="16"/>
  <c r="B66" i="16"/>
  <c r="B34" i="16"/>
  <c r="A1" i="9"/>
  <c r="C69" i="16"/>
  <c r="K68" i="16"/>
  <c r="C68" i="16"/>
  <c r="K36" i="16"/>
  <c r="C37" i="16"/>
  <c r="C36" i="16"/>
  <c r="D108" i="12"/>
  <c r="D109" i="12" s="1"/>
  <c r="D110" i="12" s="1"/>
  <c r="D111" i="12" s="1"/>
  <c r="D112" i="12" s="1"/>
  <c r="D113" i="12" s="1"/>
  <c r="D114" i="12" s="1"/>
  <c r="D115" i="12" s="1"/>
  <c r="D116" i="12" s="1"/>
  <c r="D117" i="12" s="1"/>
  <c r="D118" i="12" s="1"/>
  <c r="D119" i="12" s="1"/>
  <c r="D120" i="12" s="1"/>
  <c r="D121" i="12" s="1"/>
  <c r="D122" i="12" s="1"/>
  <c r="D123" i="12" s="1"/>
  <c r="D124" i="12" s="1"/>
  <c r="D125" i="12" s="1"/>
  <c r="D126" i="12" s="1"/>
  <c r="D127" i="12" s="1"/>
  <c r="D128" i="12" s="1"/>
  <c r="D129" i="12" s="1"/>
  <c r="D130" i="12" s="1"/>
  <c r="D131" i="12" s="1"/>
  <c r="D132" i="12" s="1"/>
  <c r="D133" i="12" s="1"/>
  <c r="D134" i="12" s="1"/>
  <c r="D135" i="12" s="1"/>
  <c r="D136" i="12" s="1"/>
  <c r="D137" i="12" s="1"/>
  <c r="D138" i="12" s="1"/>
  <c r="D139" i="12" s="1"/>
  <c r="D140" i="12" s="1"/>
  <c r="D141" i="12" s="1"/>
  <c r="D142" i="12" s="1"/>
  <c r="D143" i="12" s="1"/>
  <c r="D144" i="12" s="1"/>
  <c r="D145" i="12" s="1"/>
  <c r="D146" i="12" s="1"/>
  <c r="D147" i="12" s="1"/>
  <c r="D148" i="12" s="1"/>
  <c r="D149" i="12" s="1"/>
  <c r="D150" i="12" s="1"/>
  <c r="D151" i="12" s="1"/>
  <c r="D152" i="12" s="1"/>
  <c r="D153" i="12" s="1"/>
  <c r="D154" i="12" s="1"/>
  <c r="D155" i="12" s="1"/>
  <c r="K102" i="12"/>
  <c r="C103" i="12"/>
  <c r="C102" i="12"/>
  <c r="F100" i="12"/>
  <c r="C69" i="12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87" i="12" s="1"/>
  <c r="C88" i="12" s="1"/>
  <c r="C89" i="12" s="1"/>
  <c r="C90" i="12" s="1"/>
  <c r="C91" i="12" s="1"/>
  <c r="J164" i="16" l="1"/>
  <c r="C100" i="12"/>
  <c r="C104" i="12" s="1"/>
  <c r="D104" i="12" s="1"/>
  <c r="E104" i="12" s="1"/>
  <c r="F104" i="12" s="1"/>
  <c r="G104" i="12" s="1"/>
  <c r="H104" i="12" s="1"/>
  <c r="I104" i="12" s="1"/>
  <c r="J104" i="12" s="1"/>
  <c r="K104" i="12" s="1"/>
  <c r="L104" i="12" s="1"/>
  <c r="M104" i="12" s="1"/>
  <c r="N104" i="12" s="1"/>
  <c r="I108" i="12"/>
  <c r="I110" i="12" s="1"/>
  <c r="J109" i="12"/>
  <c r="D5" i="9" s="1"/>
  <c r="J5" i="9"/>
  <c r="H5" i="9"/>
  <c r="F5" i="9"/>
  <c r="A34" i="16"/>
  <c r="A98" i="16"/>
  <c r="A66" i="16"/>
  <c r="K164" i="16" l="1"/>
  <c r="I109" i="12"/>
  <c r="C5" i="9" s="1"/>
  <c r="D9" i="12"/>
  <c r="C9" i="12"/>
  <c r="C12" i="12" s="1"/>
  <c r="L164" i="16" l="1"/>
  <c r="D5" i="16"/>
  <c r="D4" i="16"/>
  <c r="A1" i="10"/>
  <c r="C3" i="12" s="1"/>
  <c r="E9" i="12"/>
  <c r="F9" i="12" s="1"/>
  <c r="G9" i="12" s="1"/>
  <c r="H9" i="12" s="1"/>
  <c r="I9" i="12" s="1"/>
  <c r="J9" i="12" s="1"/>
  <c r="K9" i="12" s="1"/>
  <c r="L9" i="12" s="1"/>
  <c r="M9" i="12" s="1"/>
  <c r="D12" i="12"/>
  <c r="D11" i="12"/>
  <c r="D103" i="12" s="1"/>
  <c r="L10" i="12"/>
  <c r="M10" i="12" s="1"/>
  <c r="D10" i="12"/>
  <c r="D102" i="12" s="1"/>
  <c r="C159" i="16"/>
  <c r="D162" i="16" l="1"/>
  <c r="D176" i="16"/>
  <c r="D163" i="16"/>
  <c r="D177" i="16"/>
  <c r="M164" i="16"/>
  <c r="M102" i="12"/>
  <c r="N10" i="12"/>
  <c r="N102" i="12" s="1"/>
  <c r="N9" i="12"/>
  <c r="L102" i="12"/>
  <c r="D208" i="16"/>
  <c r="D132" i="16"/>
  <c r="D100" i="16"/>
  <c r="D209" i="16"/>
  <c r="D133" i="16"/>
  <c r="D101" i="16"/>
  <c r="D68" i="16"/>
  <c r="D36" i="16"/>
  <c r="D69" i="16"/>
  <c r="D37" i="16"/>
  <c r="E6" i="12"/>
  <c r="E7" i="12"/>
  <c r="E4" i="16"/>
  <c r="E5" i="16"/>
  <c r="E12" i="12"/>
  <c r="F12" i="12" s="1"/>
  <c r="G12" i="12" s="1"/>
  <c r="H12" i="12" s="1"/>
  <c r="I12" i="12" s="1"/>
  <c r="J12" i="12" s="1"/>
  <c r="K12" i="12" s="1"/>
  <c r="L12" i="12" s="1"/>
  <c r="M12" i="12" s="1"/>
  <c r="N12" i="12" s="1"/>
  <c r="C13" i="12"/>
  <c r="E10" i="12"/>
  <c r="E102" i="12" s="1"/>
  <c r="E11" i="12"/>
  <c r="E103" i="12" s="1"/>
  <c r="B2" i="10"/>
  <c r="B418" i="10"/>
  <c r="A470" i="10"/>
  <c r="A54" i="10"/>
  <c r="B54" i="10" s="1"/>
  <c r="C470" i="10"/>
  <c r="C366" i="10"/>
  <c r="C314" i="10"/>
  <c r="C210" i="10"/>
  <c r="C158" i="10"/>
  <c r="C54" i="10"/>
  <c r="K31" i="16"/>
  <c r="N11" i="16"/>
  <c r="N6" i="16"/>
  <c r="I158" i="16"/>
  <c r="L139" i="16"/>
  <c r="M156" i="16"/>
  <c r="M29" i="16"/>
  <c r="M154" i="16"/>
  <c r="H30" i="16"/>
  <c r="L141" i="16"/>
  <c r="N152" i="16"/>
  <c r="K159" i="16"/>
  <c r="F159" i="16"/>
  <c r="M157" i="16"/>
  <c r="L8" i="16"/>
  <c r="N149" i="16"/>
  <c r="M150" i="16"/>
  <c r="E30" i="16"/>
  <c r="M14" i="16"/>
  <c r="N30" i="16"/>
  <c r="C31" i="16"/>
  <c r="L11" i="16"/>
  <c r="M30" i="16"/>
  <c r="N27" i="16"/>
  <c r="N159" i="16"/>
  <c r="L24" i="16"/>
  <c r="M138" i="16"/>
  <c r="F158" i="16"/>
  <c r="N13" i="16"/>
  <c r="N141" i="16"/>
  <c r="N142" i="16"/>
  <c r="L165" i="16"/>
  <c r="L143" i="16"/>
  <c r="N19" i="16"/>
  <c r="N138" i="16"/>
  <c r="L31" i="16"/>
  <c r="N150" i="16"/>
  <c r="L22" i="16"/>
  <c r="C158" i="16"/>
  <c r="I31" i="16"/>
  <c r="N17" i="16"/>
  <c r="L6" i="16"/>
  <c r="L158" i="16"/>
  <c r="L26" i="16"/>
  <c r="M134" i="16"/>
  <c r="G158" i="16"/>
  <c r="L146" i="16"/>
  <c r="M13" i="16"/>
  <c r="M149" i="16"/>
  <c r="M8" i="16"/>
  <c r="N146" i="16"/>
  <c r="N8" i="16"/>
  <c r="F30" i="16"/>
  <c r="L136" i="16"/>
  <c r="D159" i="16"/>
  <c r="L152" i="16"/>
  <c r="K30" i="16"/>
  <c r="N23" i="16"/>
  <c r="N20" i="16"/>
  <c r="N153" i="16"/>
  <c r="J31" i="16"/>
  <c r="M153" i="16"/>
  <c r="C30" i="16"/>
  <c r="L28" i="16"/>
  <c r="J159" i="16"/>
  <c r="M19" i="16"/>
  <c r="M7" i="16"/>
  <c r="N29" i="16"/>
  <c r="L21" i="16"/>
  <c r="L14" i="16"/>
  <c r="E31" i="16"/>
  <c r="N134" i="16"/>
  <c r="M141" i="16"/>
  <c r="N156" i="16"/>
  <c r="L15" i="16"/>
  <c r="E158" i="16"/>
  <c r="M135" i="16"/>
  <c r="M21" i="16"/>
  <c r="L17" i="16"/>
  <c r="M26" i="16"/>
  <c r="I30" i="16"/>
  <c r="L145" i="16"/>
  <c r="N137" i="16"/>
  <c r="N157" i="16"/>
  <c r="N16" i="16"/>
  <c r="L23" i="16"/>
  <c r="M15" i="16"/>
  <c r="L156" i="16"/>
  <c r="N10" i="16"/>
  <c r="N25" i="16"/>
  <c r="L7" i="16"/>
  <c r="N24" i="16"/>
  <c r="N147" i="16"/>
  <c r="L135" i="16"/>
  <c r="L150" i="16"/>
  <c r="M148" i="16"/>
  <c r="M16" i="16"/>
  <c r="N18" i="16"/>
  <c r="M152" i="16"/>
  <c r="D30" i="16"/>
  <c r="L137" i="16"/>
  <c r="N148" i="16"/>
  <c r="M23" i="16"/>
  <c r="M137" i="16"/>
  <c r="G30" i="16"/>
  <c r="N139" i="16"/>
  <c r="M27" i="16"/>
  <c r="L9" i="16"/>
  <c r="L140" i="16"/>
  <c r="L13" i="16"/>
  <c r="N135" i="16"/>
  <c r="M139" i="16"/>
  <c r="N14" i="16"/>
  <c r="N154" i="16"/>
  <c r="M151" i="16"/>
  <c r="L147" i="16"/>
  <c r="H31" i="16"/>
  <c r="N28" i="16"/>
  <c r="N31" i="16"/>
  <c r="M147" i="16"/>
  <c r="L157" i="16"/>
  <c r="J30" i="16"/>
  <c r="M24" i="16"/>
  <c r="L18" i="16"/>
  <c r="D158" i="16"/>
  <c r="F31" i="16"/>
  <c r="M142" i="16"/>
  <c r="N9" i="16"/>
  <c r="M6" i="16"/>
  <c r="N144" i="16"/>
  <c r="M17" i="16"/>
  <c r="L10" i="16"/>
  <c r="M155" i="16"/>
  <c r="M144" i="16"/>
  <c r="E159" i="16"/>
  <c r="N136" i="16"/>
  <c r="G31" i="16"/>
  <c r="D31" i="16"/>
  <c r="N15" i="16"/>
  <c r="J158" i="16"/>
  <c r="L12" i="16"/>
  <c r="N145" i="16"/>
  <c r="M25" i="16"/>
  <c r="M20" i="16"/>
  <c r="N151" i="16"/>
  <c r="L159" i="16"/>
  <c r="M158" i="16"/>
  <c r="N155" i="16"/>
  <c r="M136" i="16"/>
  <c r="M165" i="16"/>
  <c r="L155" i="16"/>
  <c r="M12" i="16"/>
  <c r="I159" i="16"/>
  <c r="M159" i="16"/>
  <c r="L153" i="16"/>
  <c r="L151" i="16"/>
  <c r="M22" i="16"/>
  <c r="M145" i="16"/>
  <c r="N12" i="16"/>
  <c r="N143" i="16"/>
  <c r="M10" i="16"/>
  <c r="M9" i="16"/>
  <c r="G159" i="16"/>
  <c r="H159" i="16"/>
  <c r="L27" i="16"/>
  <c r="M31" i="16"/>
  <c r="L142" i="16"/>
  <c r="L154" i="16"/>
  <c r="M28" i="16"/>
  <c r="L148" i="16"/>
  <c r="N158" i="16"/>
  <c r="M18" i="16"/>
  <c r="N165" i="16"/>
  <c r="N21" i="16"/>
  <c r="N7" i="16"/>
  <c r="L16" i="16"/>
  <c r="M11" i="16"/>
  <c r="L19" i="16"/>
  <c r="N140" i="16"/>
  <c r="L29" i="16"/>
  <c r="H158" i="16"/>
  <c r="L30" i="16"/>
  <c r="M146" i="16"/>
  <c r="M143" i="16"/>
  <c r="L20" i="16"/>
  <c r="N26" i="16"/>
  <c r="L25" i="16"/>
  <c r="K158" i="16"/>
  <c r="N22" i="16"/>
  <c r="M140" i="16"/>
  <c r="L149" i="16"/>
  <c r="D30" i="9" l="1"/>
  <c r="E30" i="9"/>
  <c r="C30" i="9"/>
  <c r="E32" i="9"/>
  <c r="D32" i="9"/>
  <c r="C32" i="9"/>
  <c r="D31" i="9"/>
  <c r="E31" i="9"/>
  <c r="C31" i="9"/>
  <c r="J202" i="16"/>
  <c r="N195" i="16"/>
  <c r="G203" i="16"/>
  <c r="M186" i="16"/>
  <c r="N178" i="16"/>
  <c r="N200" i="16"/>
  <c r="N203" i="16"/>
  <c r="N197" i="16"/>
  <c r="J203" i="16"/>
  <c r="N184" i="16"/>
  <c r="K203" i="16"/>
  <c r="E203" i="16"/>
  <c r="D203" i="16"/>
  <c r="N186" i="16"/>
  <c r="N194" i="16"/>
  <c r="N185" i="16"/>
  <c r="I202" i="16"/>
  <c r="N199" i="16"/>
  <c r="I203" i="16"/>
  <c r="N192" i="16"/>
  <c r="M193" i="16"/>
  <c r="M198" i="16"/>
  <c r="N181" i="16"/>
  <c r="M185" i="16"/>
  <c r="M183" i="16"/>
  <c r="N190" i="16"/>
  <c r="N189" i="16"/>
  <c r="M200" i="16"/>
  <c r="N187" i="16"/>
  <c r="M202" i="16"/>
  <c r="M180" i="16"/>
  <c r="N201" i="16"/>
  <c r="N196" i="16"/>
  <c r="M189" i="16"/>
  <c r="M184" i="16"/>
  <c r="M191" i="16"/>
  <c r="F203" i="16"/>
  <c r="M194" i="16"/>
  <c r="M179" i="16"/>
  <c r="L202" i="16"/>
  <c r="K202" i="16"/>
  <c r="N179" i="16"/>
  <c r="H202" i="16"/>
  <c r="M197" i="16"/>
  <c r="N198" i="16"/>
  <c r="N191" i="16"/>
  <c r="M195" i="16"/>
  <c r="M192" i="16"/>
  <c r="N182" i="16"/>
  <c r="F202" i="16"/>
  <c r="N188" i="16"/>
  <c r="N193" i="16"/>
  <c r="N180" i="16"/>
  <c r="E202" i="16"/>
  <c r="L203" i="16"/>
  <c r="G202" i="16"/>
  <c r="N183" i="16"/>
  <c r="M203" i="16"/>
  <c r="H203" i="16"/>
  <c r="M201" i="16"/>
  <c r="M181" i="16"/>
  <c r="D202" i="16"/>
  <c r="N202" i="16"/>
  <c r="M196" i="16"/>
  <c r="M187" i="16"/>
  <c r="M199" i="16"/>
  <c r="M190" i="16"/>
  <c r="E162" i="16"/>
  <c r="E176" i="16"/>
  <c r="N164" i="16"/>
  <c r="E163" i="16"/>
  <c r="E177" i="16"/>
  <c r="S30" i="16"/>
  <c r="X30" i="16"/>
  <c r="V30" i="16"/>
  <c r="AA30" i="16"/>
  <c r="Y30" i="16"/>
  <c r="T30" i="16"/>
  <c r="AC30" i="16"/>
  <c r="AB30" i="16"/>
  <c r="U30" i="16"/>
  <c r="Z30" i="16"/>
  <c r="W30" i="16"/>
  <c r="R30" i="16"/>
  <c r="X29" i="16"/>
  <c r="W29" i="16"/>
  <c r="AA29" i="16"/>
  <c r="Y29" i="16"/>
  <c r="AB29" i="16"/>
  <c r="S29" i="16"/>
  <c r="U29" i="16"/>
  <c r="Z29" i="16"/>
  <c r="T29" i="16"/>
  <c r="AC29" i="16"/>
  <c r="V29" i="16"/>
  <c r="R29" i="16"/>
  <c r="G62" i="16"/>
  <c r="L62" i="16"/>
  <c r="K63" i="16"/>
  <c r="N63" i="16"/>
  <c r="G63" i="16"/>
  <c r="M63" i="16"/>
  <c r="J63" i="16"/>
  <c r="J62" i="16"/>
  <c r="E63" i="16"/>
  <c r="M62" i="16"/>
  <c r="L63" i="16"/>
  <c r="N62" i="16"/>
  <c r="F62" i="16"/>
  <c r="D63" i="16"/>
  <c r="I62" i="16"/>
  <c r="I63" i="16"/>
  <c r="H62" i="16"/>
  <c r="E62" i="16"/>
  <c r="F63" i="16"/>
  <c r="K62" i="16"/>
  <c r="H63" i="16"/>
  <c r="D62" i="16"/>
  <c r="M121" i="16"/>
  <c r="M57" i="16"/>
  <c r="M103" i="16"/>
  <c r="M39" i="16"/>
  <c r="M41" i="16"/>
  <c r="M105" i="16"/>
  <c r="M58" i="16"/>
  <c r="M122" i="16"/>
  <c r="M112" i="16"/>
  <c r="M48" i="16"/>
  <c r="M124" i="16"/>
  <c r="M60" i="16"/>
  <c r="M50" i="16"/>
  <c r="M114" i="16"/>
  <c r="M53" i="16"/>
  <c r="M117" i="16"/>
  <c r="M38" i="16"/>
  <c r="M102" i="16"/>
  <c r="M119" i="16"/>
  <c r="M55" i="16"/>
  <c r="M109" i="16"/>
  <c r="M45" i="16"/>
  <c r="M107" i="16"/>
  <c r="M43" i="16"/>
  <c r="M113" i="16"/>
  <c r="M49" i="16"/>
  <c r="M115" i="16"/>
  <c r="M51" i="16"/>
  <c r="M52" i="16"/>
  <c r="M116" i="16"/>
  <c r="M125" i="16"/>
  <c r="M61" i="16"/>
  <c r="M44" i="16"/>
  <c r="M108" i="16"/>
  <c r="M40" i="16"/>
  <c r="M104" i="16"/>
  <c r="M46" i="16"/>
  <c r="M110" i="16"/>
  <c r="M56" i="16"/>
  <c r="M120" i="16"/>
  <c r="M118" i="16"/>
  <c r="M54" i="16"/>
  <c r="M59" i="16"/>
  <c r="M123" i="16"/>
  <c r="M106" i="16"/>
  <c r="M42" i="16"/>
  <c r="M47" i="16"/>
  <c r="M111" i="16"/>
  <c r="M232" i="16"/>
  <c r="N80" i="16"/>
  <c r="N233" i="16"/>
  <c r="N213" i="16"/>
  <c r="N119" i="16"/>
  <c r="N55" i="16"/>
  <c r="M87" i="16"/>
  <c r="M214" i="16"/>
  <c r="N225" i="16"/>
  <c r="M223" i="16"/>
  <c r="N219" i="16"/>
  <c r="N78" i="16"/>
  <c r="N70" i="16"/>
  <c r="N227" i="16"/>
  <c r="M76" i="16"/>
  <c r="N44" i="16"/>
  <c r="N108" i="16"/>
  <c r="M221" i="16"/>
  <c r="N53" i="16"/>
  <c r="N117" i="16"/>
  <c r="M85" i="16"/>
  <c r="N221" i="16"/>
  <c r="N87" i="16"/>
  <c r="N107" i="16"/>
  <c r="N43" i="16"/>
  <c r="M75" i="16"/>
  <c r="M230" i="16"/>
  <c r="N90" i="16"/>
  <c r="N217" i="16"/>
  <c r="N88" i="16"/>
  <c r="N59" i="16"/>
  <c r="M91" i="16"/>
  <c r="N123" i="16"/>
  <c r="M228" i="16"/>
  <c r="N215" i="16"/>
  <c r="N81" i="16"/>
  <c r="M224" i="16"/>
  <c r="N40" i="16"/>
  <c r="N104" i="16"/>
  <c r="M72" i="16"/>
  <c r="M82" i="16"/>
  <c r="N50" i="16"/>
  <c r="N114" i="16"/>
  <c r="N211" i="16"/>
  <c r="N113" i="16"/>
  <c r="N49" i="16"/>
  <c r="M81" i="16"/>
  <c r="N47" i="16"/>
  <c r="M79" i="16"/>
  <c r="N111" i="16"/>
  <c r="M215" i="16"/>
  <c r="M226" i="16"/>
  <c r="M70" i="16"/>
  <c r="N38" i="16"/>
  <c r="N102" i="16"/>
  <c r="N41" i="16"/>
  <c r="M73" i="16"/>
  <c r="N105" i="16"/>
  <c r="M222" i="16"/>
  <c r="N89" i="16"/>
  <c r="N75" i="16"/>
  <c r="N230" i="16"/>
  <c r="M218" i="16"/>
  <c r="M213" i="16"/>
  <c r="N84" i="16"/>
  <c r="N82" i="16"/>
  <c r="N72" i="16"/>
  <c r="N229" i="16"/>
  <c r="N79" i="16"/>
  <c r="M211" i="16"/>
  <c r="N220" i="16"/>
  <c r="M216" i="16"/>
  <c r="N83" i="16"/>
  <c r="N224" i="16"/>
  <c r="M212" i="16"/>
  <c r="N232" i="16"/>
  <c r="M217" i="16"/>
  <c r="N125" i="16"/>
  <c r="N61" i="16"/>
  <c r="M93" i="16"/>
  <c r="N93" i="16"/>
  <c r="M88" i="16"/>
  <c r="N56" i="16"/>
  <c r="N120" i="16"/>
  <c r="N91" i="16"/>
  <c r="N85" i="16"/>
  <c r="N228" i="16"/>
  <c r="M210" i="16"/>
  <c r="N77" i="16"/>
  <c r="N218" i="16"/>
  <c r="N124" i="16"/>
  <c r="M92" i="16"/>
  <c r="N60" i="16"/>
  <c r="M71" i="16"/>
  <c r="N103" i="16"/>
  <c r="N39" i="16"/>
  <c r="N76" i="16"/>
  <c r="N74" i="16"/>
  <c r="M229" i="16"/>
  <c r="N73" i="16"/>
  <c r="M233" i="16"/>
  <c r="N222" i="16"/>
  <c r="N58" i="16"/>
  <c r="N122" i="16"/>
  <c r="M90" i="16"/>
  <c r="N71" i="16"/>
  <c r="M231" i="16"/>
  <c r="N212" i="16"/>
  <c r="N118" i="16"/>
  <c r="M86" i="16"/>
  <c r="N54" i="16"/>
  <c r="M227" i="16"/>
  <c r="N214" i="16"/>
  <c r="N223" i="16"/>
  <c r="M220" i="16"/>
  <c r="N216" i="16"/>
  <c r="N52" i="16"/>
  <c r="N116" i="16"/>
  <c r="M84" i="16"/>
  <c r="M225" i="16"/>
  <c r="N92" i="16"/>
  <c r="N112" i="16"/>
  <c r="M80" i="16"/>
  <c r="N48" i="16"/>
  <c r="N226" i="16"/>
  <c r="M77" i="16"/>
  <c r="N109" i="16"/>
  <c r="N45" i="16"/>
  <c r="M89" i="16"/>
  <c r="N121" i="16"/>
  <c r="N57" i="16"/>
  <c r="M83" i="16"/>
  <c r="N115" i="16"/>
  <c r="N51" i="16"/>
  <c r="N210" i="16"/>
  <c r="N46" i="16"/>
  <c r="N110" i="16"/>
  <c r="M78" i="16"/>
  <c r="N231" i="16"/>
  <c r="M219" i="16"/>
  <c r="N86" i="16"/>
  <c r="N106" i="16"/>
  <c r="M74" i="16"/>
  <c r="N42" i="16"/>
  <c r="B470" i="10"/>
  <c r="A522" i="10"/>
  <c r="L232" i="16"/>
  <c r="L92" i="16"/>
  <c r="L76" i="16"/>
  <c r="L222" i="16"/>
  <c r="L90" i="16"/>
  <c r="L74" i="16"/>
  <c r="L233" i="16"/>
  <c r="L217" i="16"/>
  <c r="L93" i="16"/>
  <c r="L85" i="16"/>
  <c r="L77" i="16"/>
  <c r="L228" i="16"/>
  <c r="L212" i="16"/>
  <c r="L88" i="16"/>
  <c r="L80" i="16"/>
  <c r="L72" i="16"/>
  <c r="L231" i="16"/>
  <c r="L223" i="16"/>
  <c r="L215" i="16"/>
  <c r="L91" i="16"/>
  <c r="L83" i="16"/>
  <c r="L75" i="16"/>
  <c r="L216" i="16"/>
  <c r="L84" i="16"/>
  <c r="L230" i="16"/>
  <c r="L82" i="16"/>
  <c r="L225" i="16"/>
  <c r="L226" i="16"/>
  <c r="L218" i="16"/>
  <c r="L86" i="16"/>
  <c r="L78" i="16"/>
  <c r="L70" i="16"/>
  <c r="L229" i="16"/>
  <c r="L221" i="16"/>
  <c r="L213" i="16"/>
  <c r="L89" i="16"/>
  <c r="L81" i="16"/>
  <c r="L73" i="16"/>
  <c r="L224" i="16"/>
  <c r="L227" i="16"/>
  <c r="L219" i="16"/>
  <c r="L211" i="16"/>
  <c r="L87" i="16"/>
  <c r="L79" i="16"/>
  <c r="L71" i="16"/>
  <c r="E209" i="16"/>
  <c r="E133" i="16"/>
  <c r="E101" i="16"/>
  <c r="E208" i="16"/>
  <c r="E132" i="16"/>
  <c r="E100" i="16"/>
  <c r="E36" i="16"/>
  <c r="E68" i="16"/>
  <c r="E37" i="16"/>
  <c r="E69" i="16"/>
  <c r="F4" i="16"/>
  <c r="F5" i="16"/>
  <c r="D13" i="12"/>
  <c r="C14" i="12"/>
  <c r="F10" i="12"/>
  <c r="F102" i="12" s="1"/>
  <c r="F11" i="12"/>
  <c r="F103" i="12" s="1"/>
  <c r="A106" i="10"/>
  <c r="B106" i="10" s="1"/>
  <c r="L134" i="16"/>
  <c r="L138" i="16"/>
  <c r="L144" i="16"/>
  <c r="F30" i="9" l="1"/>
  <c r="G32" i="9"/>
  <c r="F32" i="9"/>
  <c r="G30" i="9"/>
  <c r="G31" i="9"/>
  <c r="F31" i="9"/>
  <c r="C33" i="9"/>
  <c r="E33" i="9"/>
  <c r="D33" i="9"/>
  <c r="M182" i="16"/>
  <c r="M178" i="16"/>
  <c r="M188" i="16"/>
  <c r="F162" i="16"/>
  <c r="F176" i="16"/>
  <c r="F163" i="16"/>
  <c r="F177" i="16"/>
  <c r="AC31" i="16"/>
  <c r="R31" i="16"/>
  <c r="AA31" i="16"/>
  <c r="V31" i="16"/>
  <c r="Z31" i="16"/>
  <c r="S31" i="16"/>
  <c r="T31" i="16"/>
  <c r="U31" i="16"/>
  <c r="X31" i="16"/>
  <c r="AB31" i="16"/>
  <c r="Y31" i="16"/>
  <c r="W31" i="16"/>
  <c r="B522" i="10"/>
  <c r="A574" i="10"/>
  <c r="B574" i="10" s="1"/>
  <c r="L214" i="16"/>
  <c r="L210" i="16"/>
  <c r="L220" i="16"/>
  <c r="F209" i="16"/>
  <c r="F133" i="16"/>
  <c r="F101" i="16"/>
  <c r="F208" i="16"/>
  <c r="F132" i="16"/>
  <c r="F100" i="16"/>
  <c r="F37" i="16"/>
  <c r="F69" i="16"/>
  <c r="F68" i="16"/>
  <c r="F36" i="16"/>
  <c r="E13" i="12"/>
  <c r="G5" i="16"/>
  <c r="G4" i="16"/>
  <c r="C15" i="12"/>
  <c r="D14" i="12"/>
  <c r="G11" i="12"/>
  <c r="G103" i="12" s="1"/>
  <c r="G10" i="12"/>
  <c r="G102" i="12" s="1"/>
  <c r="A158" i="10"/>
  <c r="A210" i="10" s="1"/>
  <c r="G163" i="16" l="1"/>
  <c r="G177" i="16"/>
  <c r="G162" i="16"/>
  <c r="G176" i="16"/>
  <c r="G208" i="16"/>
  <c r="G132" i="16"/>
  <c r="G100" i="16"/>
  <c r="G209" i="16"/>
  <c r="G133" i="16"/>
  <c r="G101" i="16"/>
  <c r="G69" i="16"/>
  <c r="G37" i="16"/>
  <c r="G68" i="16"/>
  <c r="G36" i="16"/>
  <c r="F13" i="12"/>
  <c r="E14" i="12"/>
  <c r="H5" i="16"/>
  <c r="H4" i="16"/>
  <c r="C16" i="12"/>
  <c r="D15" i="12"/>
  <c r="H11" i="12"/>
  <c r="H103" i="12" s="1"/>
  <c r="H10" i="12"/>
  <c r="H102" i="12" s="1"/>
  <c r="B158" i="10"/>
  <c r="A262" i="10"/>
  <c r="B210" i="10"/>
  <c r="H176" i="16" l="1"/>
  <c r="H163" i="16"/>
  <c r="H177" i="16"/>
  <c r="H162" i="16"/>
  <c r="H209" i="16"/>
  <c r="H133" i="16"/>
  <c r="H101" i="16"/>
  <c r="H208" i="16"/>
  <c r="H132" i="16"/>
  <c r="H100" i="16"/>
  <c r="H68" i="16"/>
  <c r="H36" i="16"/>
  <c r="H69" i="16"/>
  <c r="H37" i="16"/>
  <c r="G13" i="12"/>
  <c r="E15" i="12"/>
  <c r="F14" i="12"/>
  <c r="I4" i="16"/>
  <c r="I5" i="16"/>
  <c r="C17" i="12"/>
  <c r="D16" i="12"/>
  <c r="I11" i="12"/>
  <c r="I103" i="12" s="1"/>
  <c r="I10" i="12"/>
  <c r="I102" i="12" s="1"/>
  <c r="A314" i="10"/>
  <c r="B262" i="10"/>
  <c r="K27" i="16"/>
  <c r="K147" i="16"/>
  <c r="K165" i="16"/>
  <c r="J144" i="16"/>
  <c r="D23" i="16"/>
  <c r="G156" i="16"/>
  <c r="I141" i="16"/>
  <c r="K28" i="16"/>
  <c r="K17" i="16"/>
  <c r="K21" i="16"/>
  <c r="K146" i="16"/>
  <c r="C147" i="16"/>
  <c r="G150" i="16"/>
  <c r="G134" i="16"/>
  <c r="E152" i="16"/>
  <c r="E8" i="16"/>
  <c r="F10" i="16"/>
  <c r="D26" i="16"/>
  <c r="G141" i="16"/>
  <c r="H25" i="16"/>
  <c r="J145" i="16"/>
  <c r="H145" i="16"/>
  <c r="J26" i="16"/>
  <c r="C14" i="16"/>
  <c r="J13" i="16"/>
  <c r="F29" i="16"/>
  <c r="E165" i="16"/>
  <c r="E153" i="16"/>
  <c r="H153" i="16"/>
  <c r="K139" i="16"/>
  <c r="C135" i="16"/>
  <c r="D157" i="16"/>
  <c r="G137" i="16"/>
  <c r="F143" i="16"/>
  <c r="J9" i="16"/>
  <c r="I27" i="16"/>
  <c r="F27" i="16"/>
  <c r="E19" i="16"/>
  <c r="K135" i="16"/>
  <c r="E16" i="16"/>
  <c r="F149" i="16"/>
  <c r="G12" i="16"/>
  <c r="J165" i="16"/>
  <c r="J6" i="16"/>
  <c r="J137" i="16"/>
  <c r="F141" i="16"/>
  <c r="J157" i="16"/>
  <c r="E141" i="16"/>
  <c r="D6" i="16"/>
  <c r="K14" i="16"/>
  <c r="J10" i="16"/>
  <c r="D141" i="16"/>
  <c r="F24" i="16"/>
  <c r="H8" i="16"/>
  <c r="J8" i="16"/>
  <c r="D165" i="16"/>
  <c r="G29" i="16"/>
  <c r="G7" i="16"/>
  <c r="K153" i="16"/>
  <c r="F135" i="16"/>
  <c r="H18" i="16"/>
  <c r="C26" i="16"/>
  <c r="H23" i="16"/>
  <c r="J15" i="16"/>
  <c r="D16" i="16"/>
  <c r="F136" i="16"/>
  <c r="H134" i="16"/>
  <c r="F144" i="16"/>
  <c r="G136" i="16"/>
  <c r="C29" i="16"/>
  <c r="H141" i="16"/>
  <c r="H155" i="16"/>
  <c r="C157" i="16"/>
  <c r="I155" i="16"/>
  <c r="J153" i="16"/>
  <c r="I165" i="16"/>
  <c r="G157" i="16"/>
  <c r="H148" i="16"/>
  <c r="D154" i="16"/>
  <c r="J12" i="16"/>
  <c r="I139" i="16"/>
  <c r="K142" i="16"/>
  <c r="G142" i="16"/>
  <c r="F16" i="16"/>
  <c r="H146" i="16"/>
  <c r="I157" i="16"/>
  <c r="F148" i="16"/>
  <c r="I26" i="16"/>
  <c r="J16" i="16"/>
  <c r="C144" i="16"/>
  <c r="I135" i="16"/>
  <c r="J23" i="16"/>
  <c r="F18" i="16"/>
  <c r="F23" i="16"/>
  <c r="I148" i="16"/>
  <c r="J14" i="16"/>
  <c r="H17" i="16"/>
  <c r="F151" i="16"/>
  <c r="H28" i="16"/>
  <c r="D136" i="16"/>
  <c r="E151" i="16"/>
  <c r="F146" i="16"/>
  <c r="F152" i="16"/>
  <c r="E134" i="16"/>
  <c r="G152" i="16"/>
  <c r="J17" i="16"/>
  <c r="I150" i="16"/>
  <c r="F15" i="16"/>
  <c r="J24" i="16"/>
  <c r="G13" i="16"/>
  <c r="J146" i="16"/>
  <c r="D151" i="16"/>
  <c r="C13" i="16"/>
  <c r="K137" i="16"/>
  <c r="J143" i="16"/>
  <c r="C145" i="16"/>
  <c r="E146" i="16"/>
  <c r="D7" i="16"/>
  <c r="F13" i="16"/>
  <c r="I8" i="16"/>
  <c r="D15" i="16"/>
  <c r="E21" i="16"/>
  <c r="E11" i="16"/>
  <c r="J135" i="16"/>
  <c r="H12" i="16"/>
  <c r="D17" i="16"/>
  <c r="H29" i="16"/>
  <c r="F6" i="16"/>
  <c r="H156" i="16"/>
  <c r="J151" i="16"/>
  <c r="D140" i="16"/>
  <c r="K24" i="16"/>
  <c r="F14" i="16"/>
  <c r="C153" i="16"/>
  <c r="I25" i="16"/>
  <c r="F150" i="16"/>
  <c r="G21" i="16"/>
  <c r="E10" i="16"/>
  <c r="K151" i="16"/>
  <c r="E20" i="16"/>
  <c r="K9" i="16"/>
  <c r="D155" i="16"/>
  <c r="I15" i="16"/>
  <c r="I11" i="16"/>
  <c r="G27" i="16"/>
  <c r="K20" i="16"/>
  <c r="G148" i="16"/>
  <c r="H6" i="16"/>
  <c r="H140" i="16"/>
  <c r="H20" i="16"/>
  <c r="H157" i="16"/>
  <c r="H143" i="16"/>
  <c r="J142" i="16"/>
  <c r="D137" i="16"/>
  <c r="G144" i="16"/>
  <c r="F147" i="16"/>
  <c r="H26" i="16"/>
  <c r="H27" i="16"/>
  <c r="C6" i="16"/>
  <c r="I28" i="16"/>
  <c r="C23" i="16"/>
  <c r="G146" i="16"/>
  <c r="H165" i="16"/>
  <c r="D145" i="16"/>
  <c r="C156" i="16"/>
  <c r="E29" i="16"/>
  <c r="H19" i="16"/>
  <c r="C146" i="16"/>
  <c r="E137" i="16"/>
  <c r="K26" i="16"/>
  <c r="E138" i="16"/>
  <c r="J18" i="16"/>
  <c r="G6" i="16"/>
  <c r="E135" i="16"/>
  <c r="C141" i="16"/>
  <c r="K155" i="16"/>
  <c r="J21" i="16"/>
  <c r="E6" i="16"/>
  <c r="E24" i="16"/>
  <c r="C9" i="16"/>
  <c r="D152" i="16"/>
  <c r="G140" i="16"/>
  <c r="K136" i="16"/>
  <c r="C25" i="16"/>
  <c r="I136" i="16"/>
  <c r="H13" i="16"/>
  <c r="D156" i="16"/>
  <c r="E27" i="16"/>
  <c r="I10" i="16"/>
  <c r="J11" i="16"/>
  <c r="G26" i="16"/>
  <c r="F17" i="16"/>
  <c r="G16" i="16"/>
  <c r="K12" i="16"/>
  <c r="H137" i="16"/>
  <c r="E14" i="16"/>
  <c r="I146" i="16"/>
  <c r="K19" i="16"/>
  <c r="D148" i="16"/>
  <c r="K8" i="16"/>
  <c r="F12" i="16"/>
  <c r="J22" i="16"/>
  <c r="D24" i="16"/>
  <c r="D8" i="16"/>
  <c r="E23" i="16"/>
  <c r="E15" i="16"/>
  <c r="I6" i="16"/>
  <c r="C136" i="16"/>
  <c r="I153" i="16"/>
  <c r="G15" i="16"/>
  <c r="F140" i="16"/>
  <c r="E139" i="16"/>
  <c r="C18" i="16"/>
  <c r="C134" i="16"/>
  <c r="J136" i="16"/>
  <c r="F139" i="16"/>
  <c r="C150" i="16"/>
  <c r="C15" i="16"/>
  <c r="G9" i="16"/>
  <c r="H135" i="16"/>
  <c r="J7" i="16"/>
  <c r="F7" i="16"/>
  <c r="D10" i="16"/>
  <c r="I134" i="16"/>
  <c r="G155" i="16"/>
  <c r="G153" i="16"/>
  <c r="H9" i="16"/>
  <c r="D14" i="16"/>
  <c r="J149" i="16"/>
  <c r="J20" i="16"/>
  <c r="D135" i="16"/>
  <c r="D28" i="16"/>
  <c r="I14" i="16"/>
  <c r="K144" i="16"/>
  <c r="D13" i="16"/>
  <c r="I149" i="16"/>
  <c r="C11" i="16"/>
  <c r="I19" i="16"/>
  <c r="D144" i="16"/>
  <c r="F155" i="16"/>
  <c r="I29" i="16"/>
  <c r="K6" i="16"/>
  <c r="K134" i="16"/>
  <c r="C8" i="16"/>
  <c r="E150" i="16"/>
  <c r="H15" i="16"/>
  <c r="J134" i="16"/>
  <c r="E156" i="16"/>
  <c r="J28" i="16"/>
  <c r="H152" i="16"/>
  <c r="K29" i="16"/>
  <c r="E148" i="16"/>
  <c r="H150" i="16"/>
  <c r="J29" i="16"/>
  <c r="F20" i="16"/>
  <c r="G151" i="16"/>
  <c r="F19" i="16"/>
  <c r="H144" i="16"/>
  <c r="F145" i="16"/>
  <c r="G139" i="16"/>
  <c r="E154" i="16"/>
  <c r="H138" i="16"/>
  <c r="G22" i="16"/>
  <c r="F138" i="16"/>
  <c r="G154" i="16"/>
  <c r="F21" i="16"/>
  <c r="F8" i="16"/>
  <c r="K18" i="16"/>
  <c r="C27" i="16"/>
  <c r="C165" i="16"/>
  <c r="K149" i="16"/>
  <c r="G143" i="16"/>
  <c r="K157" i="16"/>
  <c r="D142" i="16"/>
  <c r="I152" i="16"/>
  <c r="I12" i="16"/>
  <c r="G17" i="16"/>
  <c r="I16" i="16"/>
  <c r="I154" i="16"/>
  <c r="H7" i="16"/>
  <c r="K22" i="16"/>
  <c r="F153" i="16"/>
  <c r="D147" i="16"/>
  <c r="C152" i="16"/>
  <c r="F26" i="16"/>
  <c r="I142" i="16"/>
  <c r="F22" i="16"/>
  <c r="E26" i="16"/>
  <c r="C151" i="16"/>
  <c r="D134" i="16"/>
  <c r="E145" i="16"/>
  <c r="C24" i="16"/>
  <c r="F154" i="16"/>
  <c r="F165" i="16"/>
  <c r="D29" i="16"/>
  <c r="C19" i="16"/>
  <c r="J147" i="16"/>
  <c r="G135" i="16"/>
  <c r="H136" i="16"/>
  <c r="E9" i="16"/>
  <c r="C20" i="16"/>
  <c r="G23" i="16"/>
  <c r="H142" i="16"/>
  <c r="K148" i="16"/>
  <c r="D20" i="16"/>
  <c r="C22" i="16"/>
  <c r="K10" i="16"/>
  <c r="K145" i="16"/>
  <c r="C149" i="16"/>
  <c r="J156" i="16"/>
  <c r="H10" i="16"/>
  <c r="D9" i="16"/>
  <c r="C10" i="16"/>
  <c r="E25" i="16"/>
  <c r="E13" i="16"/>
  <c r="K140" i="16"/>
  <c r="C21" i="16"/>
  <c r="D12" i="16"/>
  <c r="C142" i="16"/>
  <c r="G145" i="16"/>
  <c r="F25" i="16"/>
  <c r="E157" i="16"/>
  <c r="I22" i="16"/>
  <c r="J150" i="16"/>
  <c r="H147" i="16"/>
  <c r="G10" i="16"/>
  <c r="G20" i="16"/>
  <c r="H22" i="16"/>
  <c r="J155" i="16"/>
  <c r="H21" i="16"/>
  <c r="J19" i="16"/>
  <c r="C139" i="16"/>
  <c r="I21" i="16"/>
  <c r="I24" i="16"/>
  <c r="F134" i="16"/>
  <c r="K7" i="16"/>
  <c r="H149" i="16"/>
  <c r="D18" i="16"/>
  <c r="D149" i="16"/>
  <c r="E17" i="16"/>
  <c r="H139" i="16"/>
  <c r="I140" i="16"/>
  <c r="E22" i="16"/>
  <c r="E12" i="16"/>
  <c r="F142" i="16"/>
  <c r="C143" i="16"/>
  <c r="I23" i="16"/>
  <c r="J154" i="16"/>
  <c r="K15" i="16"/>
  <c r="E140" i="16"/>
  <c r="D150" i="16"/>
  <c r="K16" i="16"/>
  <c r="K25" i="16"/>
  <c r="D153" i="16"/>
  <c r="C28" i="16"/>
  <c r="D19" i="16"/>
  <c r="C154" i="16"/>
  <c r="I17" i="16"/>
  <c r="G18" i="16"/>
  <c r="I156" i="16"/>
  <c r="C155" i="16"/>
  <c r="K138" i="16"/>
  <c r="D138" i="16"/>
  <c r="E144" i="16"/>
  <c r="K152" i="16"/>
  <c r="I145" i="16"/>
  <c r="D25" i="16"/>
  <c r="D146" i="16"/>
  <c r="E28" i="16"/>
  <c r="I20" i="16"/>
  <c r="C138" i="16"/>
  <c r="G25" i="16"/>
  <c r="G14" i="16"/>
  <c r="D143" i="16"/>
  <c r="I13" i="16"/>
  <c r="J138" i="16"/>
  <c r="H24" i="16"/>
  <c r="G24" i="16"/>
  <c r="F11" i="16"/>
  <c r="I18" i="16"/>
  <c r="I143" i="16"/>
  <c r="I147" i="16"/>
  <c r="J140" i="16"/>
  <c r="K11" i="16"/>
  <c r="C16" i="16"/>
  <c r="K23" i="16"/>
  <c r="I151" i="16"/>
  <c r="E18" i="16"/>
  <c r="E143" i="16"/>
  <c r="F28" i="16"/>
  <c r="E136" i="16"/>
  <c r="G165" i="16"/>
  <c r="C148" i="16"/>
  <c r="D139" i="16"/>
  <c r="E149" i="16"/>
  <c r="I138" i="16"/>
  <c r="F137" i="16"/>
  <c r="H14" i="16"/>
  <c r="K13" i="16"/>
  <c r="J139" i="16"/>
  <c r="G147" i="16"/>
  <c r="H11" i="16"/>
  <c r="F157" i="16"/>
  <c r="D11" i="16"/>
  <c r="C7" i="16"/>
  <c r="I144" i="16"/>
  <c r="D27" i="16"/>
  <c r="C12" i="16"/>
  <c r="K156" i="16"/>
  <c r="J25" i="16"/>
  <c r="C17" i="16"/>
  <c r="G28" i="16"/>
  <c r="J141" i="16"/>
  <c r="I7" i="16"/>
  <c r="I137" i="16"/>
  <c r="H16" i="16"/>
  <c r="E7" i="16"/>
  <c r="C140" i="16"/>
  <c r="J27" i="16"/>
  <c r="D21" i="16"/>
  <c r="G138" i="16"/>
  <c r="F9" i="16"/>
  <c r="J148" i="16"/>
  <c r="F156" i="16"/>
  <c r="E155" i="16"/>
  <c r="I9" i="16"/>
  <c r="E142" i="16"/>
  <c r="E147" i="16"/>
  <c r="K150" i="16"/>
  <c r="G19" i="16"/>
  <c r="G8" i="16"/>
  <c r="C137" i="16"/>
  <c r="G149" i="16"/>
  <c r="G11" i="16"/>
  <c r="K141" i="16"/>
  <c r="H154" i="16"/>
  <c r="H151" i="16"/>
  <c r="D22" i="16"/>
  <c r="K154" i="16"/>
  <c r="J152" i="16"/>
  <c r="K143" i="16"/>
  <c r="G199" i="16" l="1"/>
  <c r="E181" i="16"/>
  <c r="K200" i="16"/>
  <c r="D192" i="16"/>
  <c r="E193" i="16"/>
  <c r="E201" i="16"/>
  <c r="F179" i="16"/>
  <c r="K186" i="16"/>
  <c r="H183" i="16"/>
  <c r="J198" i="16"/>
  <c r="H182" i="16"/>
  <c r="E187" i="16"/>
  <c r="E182" i="16"/>
  <c r="K184" i="16"/>
  <c r="J186" i="16"/>
  <c r="I188" i="16"/>
  <c r="I200" i="16"/>
  <c r="I182" i="16"/>
  <c r="H191" i="16"/>
  <c r="K182" i="16"/>
  <c r="J201" i="16"/>
  <c r="K185" i="16"/>
  <c r="G182" i="16"/>
  <c r="E185" i="16"/>
  <c r="G178" i="16"/>
  <c r="D196" i="16"/>
  <c r="D188" i="16"/>
  <c r="D197" i="16"/>
  <c r="H185" i="16"/>
  <c r="F185" i="16"/>
  <c r="K178" i="16"/>
  <c r="K197" i="16"/>
  <c r="E194" i="16"/>
  <c r="I192" i="16"/>
  <c r="D189" i="16"/>
  <c r="F200" i="16"/>
  <c r="J192" i="16"/>
  <c r="D186" i="16"/>
  <c r="G193" i="16"/>
  <c r="L183" i="16"/>
  <c r="H201" i="16"/>
  <c r="F184" i="16"/>
  <c r="K193" i="16"/>
  <c r="E196" i="16"/>
  <c r="H198" i="16"/>
  <c r="G180" i="16"/>
  <c r="K179" i="16"/>
  <c r="L188" i="16"/>
  <c r="H188" i="16"/>
  <c r="L200" i="16"/>
  <c r="F197" i="16"/>
  <c r="I185" i="16"/>
  <c r="F181" i="16"/>
  <c r="L193" i="16"/>
  <c r="J184" i="16"/>
  <c r="E188" i="16"/>
  <c r="J193" i="16"/>
  <c r="F199" i="16"/>
  <c r="L186" i="16"/>
  <c r="J190" i="16"/>
  <c r="G191" i="16"/>
  <c r="E190" i="16"/>
  <c r="I180" i="16"/>
  <c r="H195" i="16"/>
  <c r="H194" i="16"/>
  <c r="K181" i="16"/>
  <c r="J183" i="16"/>
  <c r="L192" i="16"/>
  <c r="I195" i="16"/>
  <c r="L197" i="16"/>
  <c r="F194" i="16"/>
  <c r="H196" i="16"/>
  <c r="E183" i="16"/>
  <c r="G192" i="16"/>
  <c r="D193" i="16"/>
  <c r="D200" i="16"/>
  <c r="L182" i="16"/>
  <c r="H181" i="16"/>
  <c r="G186" i="16"/>
  <c r="L194" i="16"/>
  <c r="E200" i="16"/>
  <c r="H184" i="16"/>
  <c r="H178" i="16"/>
  <c r="I179" i="16"/>
  <c r="F178" i="16"/>
  <c r="J188" i="16"/>
  <c r="H189" i="16"/>
  <c r="D185" i="16"/>
  <c r="D182" i="16"/>
  <c r="J180" i="16"/>
  <c r="E197" i="16"/>
  <c r="I186" i="16"/>
  <c r="J195" i="16"/>
  <c r="L178" i="16"/>
  <c r="K190" i="16"/>
  <c r="E189" i="16"/>
  <c r="F195" i="16"/>
  <c r="J185" i="16"/>
  <c r="H199" i="16"/>
  <c r="G190" i="16"/>
  <c r="D199" i="16"/>
  <c r="E191" i="16"/>
  <c r="I191" i="16"/>
  <c r="E180" i="16"/>
  <c r="J178" i="16"/>
  <c r="H200" i="16"/>
  <c r="I193" i="16"/>
  <c r="L189" i="16"/>
  <c r="H193" i="16"/>
  <c r="G194" i="16"/>
  <c r="J187" i="16"/>
  <c r="K195" i="16"/>
  <c r="E186" i="16"/>
  <c r="E184" i="16"/>
  <c r="H187" i="16"/>
  <c r="K187" i="16"/>
  <c r="G200" i="16"/>
  <c r="J179" i="16"/>
  <c r="D179" i="16"/>
  <c r="H192" i="16"/>
  <c r="G195" i="16"/>
  <c r="E179" i="16"/>
  <c r="I181" i="16"/>
  <c r="F191" i="16"/>
  <c r="K199" i="16"/>
  <c r="L187" i="16"/>
  <c r="E195" i="16"/>
  <c r="F190" i="16"/>
  <c r="L195" i="16"/>
  <c r="F193" i="16"/>
  <c r="K198" i="16"/>
  <c r="F196" i="16"/>
  <c r="F189" i="16"/>
  <c r="L179" i="16"/>
  <c r="D181" i="16"/>
  <c r="F188" i="16"/>
  <c r="D191" i="16"/>
  <c r="F182" i="16"/>
  <c r="J194" i="16"/>
  <c r="G198" i="16"/>
  <c r="K201" i="16"/>
  <c r="G184" i="16"/>
  <c r="I187" i="16"/>
  <c r="I197" i="16"/>
  <c r="L198" i="16"/>
  <c r="G179" i="16"/>
  <c r="K189" i="16"/>
  <c r="I178" i="16"/>
  <c r="D183" i="16"/>
  <c r="I196" i="16"/>
  <c r="D187" i="16"/>
  <c r="L180" i="16"/>
  <c r="G189" i="16"/>
  <c r="E192" i="16"/>
  <c r="D184" i="16"/>
  <c r="F180" i="16"/>
  <c r="D190" i="16"/>
  <c r="L191" i="16"/>
  <c r="I184" i="16"/>
  <c r="J200" i="16"/>
  <c r="H197" i="16"/>
  <c r="L199" i="16"/>
  <c r="K183" i="16"/>
  <c r="H179" i="16"/>
  <c r="E198" i="16"/>
  <c r="K192" i="16"/>
  <c r="G183" i="16"/>
  <c r="L196" i="16"/>
  <c r="J191" i="16"/>
  <c r="G185" i="16"/>
  <c r="K188" i="16"/>
  <c r="J181" i="16"/>
  <c r="D198" i="16"/>
  <c r="K196" i="16"/>
  <c r="E178" i="16"/>
  <c r="F183" i="16"/>
  <c r="I194" i="16"/>
  <c r="L185" i="16"/>
  <c r="K194" i="16"/>
  <c r="K180" i="16"/>
  <c r="H190" i="16"/>
  <c r="I199" i="16"/>
  <c r="G187" i="16"/>
  <c r="H186" i="16"/>
  <c r="L190" i="16"/>
  <c r="J182" i="16"/>
  <c r="J189" i="16"/>
  <c r="I201" i="16"/>
  <c r="G181" i="16"/>
  <c r="F198" i="16"/>
  <c r="D194" i="16"/>
  <c r="L184" i="16"/>
  <c r="F201" i="16"/>
  <c r="D201" i="16"/>
  <c r="G197" i="16"/>
  <c r="D180" i="16"/>
  <c r="K191" i="16"/>
  <c r="F186" i="16"/>
  <c r="I190" i="16"/>
  <c r="F187" i="16"/>
  <c r="I189" i="16"/>
  <c r="G201" i="16"/>
  <c r="G188" i="16"/>
  <c r="G196" i="16"/>
  <c r="I183" i="16"/>
  <c r="H180" i="16"/>
  <c r="L181" i="16"/>
  <c r="J197" i="16"/>
  <c r="J196" i="16"/>
  <c r="E199" i="16"/>
  <c r="I198" i="16"/>
  <c r="F192" i="16"/>
  <c r="L201" i="16"/>
  <c r="D195" i="16"/>
  <c r="J199" i="16"/>
  <c r="D178" i="16"/>
  <c r="I163" i="16"/>
  <c r="I177" i="16"/>
  <c r="I162" i="16"/>
  <c r="I176" i="16"/>
  <c r="D71" i="16"/>
  <c r="E103" i="16"/>
  <c r="E39" i="16"/>
  <c r="K214" i="16"/>
  <c r="G112" i="16"/>
  <c r="G48" i="16"/>
  <c r="F80" i="16"/>
  <c r="I60" i="16"/>
  <c r="H92" i="16"/>
  <c r="I124" i="16"/>
  <c r="E106" i="16"/>
  <c r="E42" i="16"/>
  <c r="D74" i="16"/>
  <c r="L46" i="16"/>
  <c r="L110" i="16"/>
  <c r="K78" i="16"/>
  <c r="J71" i="16"/>
  <c r="K39" i="16"/>
  <c r="K103" i="16"/>
  <c r="E233" i="16"/>
  <c r="G75" i="16"/>
  <c r="H43" i="16"/>
  <c r="H107" i="16"/>
  <c r="L45" i="16"/>
  <c r="L109" i="16"/>
  <c r="K77" i="16"/>
  <c r="J90" i="16"/>
  <c r="K58" i="16"/>
  <c r="K122" i="16"/>
  <c r="F43" i="16"/>
  <c r="F107" i="16"/>
  <c r="E75" i="16"/>
  <c r="F77" i="16"/>
  <c r="G109" i="16"/>
  <c r="G45" i="16"/>
  <c r="D219" i="16"/>
  <c r="D232" i="16"/>
  <c r="J220" i="16"/>
  <c r="I225" i="16"/>
  <c r="K52" i="16"/>
  <c r="J84" i="16"/>
  <c r="K116" i="16"/>
  <c r="G88" i="16"/>
  <c r="H56" i="16"/>
  <c r="H120" i="16"/>
  <c r="C221" i="16"/>
  <c r="J232" i="16"/>
  <c r="I216" i="16"/>
  <c r="F225" i="16"/>
  <c r="F222" i="16"/>
  <c r="H218" i="16"/>
  <c r="H226" i="16"/>
  <c r="C70" i="16"/>
  <c r="D102" i="16"/>
  <c r="D38" i="16"/>
  <c r="I218" i="16"/>
  <c r="J212" i="16"/>
  <c r="J213" i="16"/>
  <c r="K225" i="16"/>
  <c r="E38" i="16"/>
  <c r="D70" i="16"/>
  <c r="E102" i="16"/>
  <c r="G116" i="16"/>
  <c r="F84" i="16"/>
  <c r="G52" i="16"/>
  <c r="I77" i="16"/>
  <c r="J45" i="16"/>
  <c r="J109" i="16"/>
  <c r="J210" i="16"/>
  <c r="J61" i="16"/>
  <c r="I93" i="16"/>
  <c r="J125" i="16"/>
  <c r="G226" i="16"/>
  <c r="C213" i="16"/>
  <c r="J124" i="16"/>
  <c r="I92" i="16"/>
  <c r="J60" i="16"/>
  <c r="E212" i="16"/>
  <c r="E210" i="16"/>
  <c r="F210" i="16"/>
  <c r="H54" i="16"/>
  <c r="G86" i="16"/>
  <c r="H118" i="16"/>
  <c r="H109" i="16"/>
  <c r="H45" i="16"/>
  <c r="G77" i="16"/>
  <c r="D217" i="16"/>
  <c r="C89" i="16"/>
  <c r="D121" i="16"/>
  <c r="D57" i="16"/>
  <c r="I231" i="16"/>
  <c r="D89" i="16"/>
  <c r="E121" i="16"/>
  <c r="E57" i="16"/>
  <c r="G230" i="16"/>
  <c r="C219" i="16"/>
  <c r="H121" i="16"/>
  <c r="G89" i="16"/>
  <c r="H57" i="16"/>
  <c r="F211" i="16"/>
  <c r="C224" i="16"/>
  <c r="D224" i="16"/>
  <c r="D55" i="16"/>
  <c r="D119" i="16"/>
  <c r="C87" i="16"/>
  <c r="I53" i="16"/>
  <c r="I117" i="16"/>
  <c r="H85" i="16"/>
  <c r="J120" i="16"/>
  <c r="J56" i="16"/>
  <c r="I88" i="16"/>
  <c r="I74" i="16"/>
  <c r="J42" i="16"/>
  <c r="J106" i="16"/>
  <c r="D111" i="16"/>
  <c r="C79" i="16"/>
  <c r="D47" i="16"/>
  <c r="J222" i="16"/>
  <c r="I116" i="16"/>
  <c r="I52" i="16"/>
  <c r="H84" i="16"/>
  <c r="G73" i="16"/>
  <c r="H105" i="16"/>
  <c r="H41" i="16"/>
  <c r="F109" i="16"/>
  <c r="F45" i="16"/>
  <c r="E77" i="16"/>
  <c r="J113" i="16"/>
  <c r="I81" i="16"/>
  <c r="J49" i="16"/>
  <c r="J82" i="16"/>
  <c r="K114" i="16"/>
  <c r="K50" i="16"/>
  <c r="C73" i="16"/>
  <c r="D105" i="16"/>
  <c r="D41" i="16"/>
  <c r="F11" i="9" s="1"/>
  <c r="L60" i="16"/>
  <c r="L124" i="16"/>
  <c r="K92" i="16"/>
  <c r="J228" i="16"/>
  <c r="H50" i="16"/>
  <c r="H114" i="16"/>
  <c r="G82" i="16"/>
  <c r="F41" i="16"/>
  <c r="E73" i="16"/>
  <c r="F105" i="16"/>
  <c r="F104" i="16"/>
  <c r="F40" i="16"/>
  <c r="E72" i="16"/>
  <c r="G91" i="16"/>
  <c r="H123" i="16"/>
  <c r="H59" i="16"/>
  <c r="K110" i="16"/>
  <c r="J78" i="16"/>
  <c r="K46" i="16"/>
  <c r="J216" i="16"/>
  <c r="G38" i="16"/>
  <c r="G102" i="16"/>
  <c r="F70" i="16"/>
  <c r="E80" i="16"/>
  <c r="F48" i="16"/>
  <c r="F112" i="16"/>
  <c r="E40" i="16"/>
  <c r="D72" i="16"/>
  <c r="E104" i="16"/>
  <c r="E41" i="16"/>
  <c r="D73" i="16"/>
  <c r="E105" i="16"/>
  <c r="E49" i="16"/>
  <c r="D81" i="16"/>
  <c r="E113" i="16"/>
  <c r="H70" i="16"/>
  <c r="I38" i="16"/>
  <c r="I102" i="16"/>
  <c r="I220" i="16"/>
  <c r="K226" i="16"/>
  <c r="L40" i="16"/>
  <c r="L104" i="16"/>
  <c r="K72" i="16"/>
  <c r="H220" i="16"/>
  <c r="G106" i="16"/>
  <c r="F74" i="16"/>
  <c r="G42" i="16"/>
  <c r="F117" i="16"/>
  <c r="E85" i="16"/>
  <c r="F53" i="16"/>
  <c r="H231" i="16"/>
  <c r="E231" i="16"/>
  <c r="C88" i="16"/>
  <c r="D56" i="16"/>
  <c r="F27" i="9" s="1"/>
  <c r="D120" i="16"/>
  <c r="F228" i="16"/>
  <c r="D106" i="16"/>
  <c r="D42" i="16"/>
  <c r="C74" i="16"/>
  <c r="G216" i="16"/>
  <c r="F215" i="16"/>
  <c r="K38" i="16"/>
  <c r="J70" i="16"/>
  <c r="K102" i="16"/>
  <c r="K229" i="16"/>
  <c r="E56" i="16"/>
  <c r="E120" i="16"/>
  <c r="D88" i="16"/>
  <c r="H216" i="16"/>
  <c r="H230" i="16"/>
  <c r="J47" i="16"/>
  <c r="J111" i="16"/>
  <c r="I79" i="16"/>
  <c r="G84" i="16"/>
  <c r="H116" i="16"/>
  <c r="H52" i="16"/>
  <c r="L39" i="16"/>
  <c r="L103" i="16"/>
  <c r="K71" i="16"/>
  <c r="G46" i="16"/>
  <c r="F78" i="16"/>
  <c r="G110" i="16"/>
  <c r="F216" i="16"/>
  <c r="I41" i="16"/>
  <c r="H73" i="16"/>
  <c r="I105" i="16"/>
  <c r="J214" i="16"/>
  <c r="J102" i="16"/>
  <c r="J38" i="16"/>
  <c r="I70" i="16"/>
  <c r="H213" i="16"/>
  <c r="D223" i="16"/>
  <c r="E228" i="16"/>
  <c r="K88" i="16"/>
  <c r="L56" i="16"/>
  <c r="L120" i="16"/>
  <c r="I214" i="16"/>
  <c r="G219" i="16"/>
  <c r="J43" i="16"/>
  <c r="J107" i="16"/>
  <c r="I75" i="16"/>
  <c r="E227" i="16"/>
  <c r="J116" i="16"/>
  <c r="J52" i="16"/>
  <c r="I84" i="16"/>
  <c r="E108" i="16"/>
  <c r="E44" i="16"/>
  <c r="D76" i="16"/>
  <c r="G213" i="16"/>
  <c r="K80" i="16"/>
  <c r="L48" i="16"/>
  <c r="L112" i="16"/>
  <c r="G229" i="16"/>
  <c r="I61" i="16"/>
  <c r="I125" i="16"/>
  <c r="H93" i="16"/>
  <c r="L51" i="16"/>
  <c r="L115" i="16"/>
  <c r="K83" i="16"/>
  <c r="D233" i="16"/>
  <c r="E220" i="16"/>
  <c r="F81" i="16"/>
  <c r="G49" i="16"/>
  <c r="G113" i="16"/>
  <c r="D212" i="16"/>
  <c r="J233" i="16"/>
  <c r="E229" i="16"/>
  <c r="K44" i="16"/>
  <c r="K108" i="16"/>
  <c r="J76" i="16"/>
  <c r="I227" i="16"/>
  <c r="K57" i="16"/>
  <c r="K121" i="16"/>
  <c r="J89" i="16"/>
  <c r="K93" i="16"/>
  <c r="L61" i="16"/>
  <c r="L125" i="16"/>
  <c r="H51" i="16"/>
  <c r="G83" i="16"/>
  <c r="H115" i="16"/>
  <c r="I232" i="16"/>
  <c r="K215" i="16"/>
  <c r="I224" i="16"/>
  <c r="I107" i="16"/>
  <c r="H75" i="16"/>
  <c r="I43" i="16"/>
  <c r="H110" i="16"/>
  <c r="G78" i="16"/>
  <c r="H46" i="16"/>
  <c r="K221" i="16"/>
  <c r="L41" i="16"/>
  <c r="K73" i="16"/>
  <c r="L105" i="16"/>
  <c r="J54" i="16"/>
  <c r="I86" i="16"/>
  <c r="J118" i="16"/>
  <c r="E224" i="16"/>
  <c r="C210" i="16"/>
  <c r="H119" i="16"/>
  <c r="H55" i="16"/>
  <c r="G87" i="16"/>
  <c r="D53" i="16"/>
  <c r="D117" i="16"/>
  <c r="C85" i="16"/>
  <c r="C231" i="16"/>
  <c r="G40" i="16"/>
  <c r="G104" i="16"/>
  <c r="F72" i="16"/>
  <c r="H38" i="16"/>
  <c r="H102" i="16"/>
  <c r="G70" i="16"/>
  <c r="I76" i="16"/>
  <c r="J44" i="16"/>
  <c r="J108" i="16"/>
  <c r="J112" i="16"/>
  <c r="J48" i="16"/>
  <c r="I80" i="16"/>
  <c r="I228" i="16"/>
  <c r="K233" i="16"/>
  <c r="H223" i="16"/>
  <c r="L42" i="16"/>
  <c r="K74" i="16"/>
  <c r="L106" i="16"/>
  <c r="G56" i="16"/>
  <c r="F88" i="16"/>
  <c r="G120" i="16"/>
  <c r="F123" i="16"/>
  <c r="F59" i="16"/>
  <c r="E91" i="16"/>
  <c r="J227" i="16"/>
  <c r="I226" i="16"/>
  <c r="G231" i="16"/>
  <c r="E219" i="16"/>
  <c r="J223" i="16"/>
  <c r="E230" i="16"/>
  <c r="D108" i="16"/>
  <c r="C76" i="16"/>
  <c r="D44" i="16"/>
  <c r="F15" i="9" s="1"/>
  <c r="K230" i="16"/>
  <c r="D83" i="16"/>
  <c r="E51" i="16"/>
  <c r="E115" i="16"/>
  <c r="H217" i="16"/>
  <c r="I115" i="16"/>
  <c r="H83" i="16"/>
  <c r="I51" i="16"/>
  <c r="D51" i="16"/>
  <c r="F22" i="9" s="1"/>
  <c r="D115" i="16"/>
  <c r="C83" i="16"/>
  <c r="F52" i="16"/>
  <c r="F116" i="16"/>
  <c r="E84" i="16"/>
  <c r="E45" i="16"/>
  <c r="D77" i="16"/>
  <c r="E109" i="16"/>
  <c r="E123" i="16"/>
  <c r="E59" i="16"/>
  <c r="D91" i="16"/>
  <c r="E218" i="16"/>
  <c r="K216" i="16"/>
  <c r="L43" i="16"/>
  <c r="L107" i="16"/>
  <c r="K75" i="16"/>
  <c r="D211" i="16"/>
  <c r="K115" i="16"/>
  <c r="K51" i="16"/>
  <c r="J83" i="16"/>
  <c r="F111" i="16"/>
  <c r="F47" i="16"/>
  <c r="E79" i="16"/>
  <c r="J219" i="16"/>
  <c r="H108" i="16"/>
  <c r="G76" i="16"/>
  <c r="H44" i="16"/>
  <c r="G217" i="16"/>
  <c r="K117" i="16"/>
  <c r="J85" i="16"/>
  <c r="K53" i="16"/>
  <c r="K91" i="16"/>
  <c r="L59" i="16"/>
  <c r="L123" i="16"/>
  <c r="J225" i="16"/>
  <c r="E215" i="16"/>
  <c r="F55" i="16"/>
  <c r="E87" i="16"/>
  <c r="F119" i="16"/>
  <c r="E111" i="16"/>
  <c r="E47" i="16"/>
  <c r="D79" i="16"/>
  <c r="J105" i="16"/>
  <c r="J41" i="16"/>
  <c r="I73" i="16"/>
  <c r="K210" i="16"/>
  <c r="C223" i="16"/>
  <c r="G223" i="16"/>
  <c r="E125" i="16"/>
  <c r="D93" i="16"/>
  <c r="E61" i="16"/>
  <c r="C232" i="16"/>
  <c r="F114" i="16"/>
  <c r="F50" i="16"/>
  <c r="E82" i="16"/>
  <c r="L58" i="16"/>
  <c r="K90" i="16"/>
  <c r="L122" i="16"/>
  <c r="F103" i="16"/>
  <c r="F39" i="16"/>
  <c r="E71" i="16"/>
  <c r="D210" i="16"/>
  <c r="K124" i="16"/>
  <c r="K60" i="16"/>
  <c r="J92" i="16"/>
  <c r="D123" i="16"/>
  <c r="D59" i="16"/>
  <c r="C91" i="16"/>
  <c r="I118" i="16"/>
  <c r="I54" i="16"/>
  <c r="H86" i="16"/>
  <c r="C222" i="16"/>
  <c r="J51" i="16"/>
  <c r="I83" i="16"/>
  <c r="J115" i="16"/>
  <c r="H214" i="16"/>
  <c r="D122" i="16"/>
  <c r="D58" i="16"/>
  <c r="C90" i="16"/>
  <c r="I223" i="16"/>
  <c r="E232" i="16"/>
  <c r="C216" i="16"/>
  <c r="K47" i="16"/>
  <c r="K111" i="16"/>
  <c r="J79" i="16"/>
  <c r="F89" i="16"/>
  <c r="G121" i="16"/>
  <c r="G57" i="16"/>
  <c r="I123" i="16"/>
  <c r="H91" i="16"/>
  <c r="I59" i="16"/>
  <c r="J110" i="16"/>
  <c r="I78" i="16"/>
  <c r="J46" i="16"/>
  <c r="F54" i="16"/>
  <c r="F118" i="16"/>
  <c r="E86" i="16"/>
  <c r="I211" i="16"/>
  <c r="G232" i="16"/>
  <c r="D213" i="16"/>
  <c r="G115" i="16"/>
  <c r="F83" i="16"/>
  <c r="G51" i="16"/>
  <c r="E217" i="16"/>
  <c r="I120" i="16"/>
  <c r="H88" i="16"/>
  <c r="I56" i="16"/>
  <c r="J119" i="16"/>
  <c r="J55" i="16"/>
  <c r="I87" i="16"/>
  <c r="F229" i="16"/>
  <c r="K218" i="16"/>
  <c r="I108" i="16"/>
  <c r="H76" i="16"/>
  <c r="I44" i="16"/>
  <c r="E226" i="16"/>
  <c r="D225" i="16"/>
  <c r="G220" i="16"/>
  <c r="J226" i="16"/>
  <c r="H228" i="16"/>
  <c r="G43" i="16"/>
  <c r="G107" i="16"/>
  <c r="F75" i="16"/>
  <c r="G44" i="16"/>
  <c r="F76" i="16"/>
  <c r="G108" i="16"/>
  <c r="G233" i="16"/>
  <c r="E119" i="16"/>
  <c r="D87" i="16"/>
  <c r="E55" i="16"/>
  <c r="E222" i="16"/>
  <c r="K123" i="16"/>
  <c r="K59" i="16"/>
  <c r="J91" i="16"/>
  <c r="J74" i="16"/>
  <c r="K42" i="16"/>
  <c r="K106" i="16"/>
  <c r="F91" i="16"/>
  <c r="G123" i="16"/>
  <c r="G59" i="16"/>
  <c r="K118" i="16"/>
  <c r="J86" i="16"/>
  <c r="K54" i="16"/>
  <c r="F218" i="16"/>
  <c r="I229" i="16"/>
  <c r="K211" i="16"/>
  <c r="F212" i="16"/>
  <c r="D215" i="16"/>
  <c r="H221" i="16"/>
  <c r="K81" i="16"/>
  <c r="L49" i="16"/>
  <c r="L113" i="16"/>
  <c r="G41" i="16"/>
  <c r="F73" i="16"/>
  <c r="G105" i="16"/>
  <c r="C230" i="16"/>
  <c r="D214" i="16"/>
  <c r="D90" i="16"/>
  <c r="E122" i="16"/>
  <c r="E58" i="16"/>
  <c r="G47" i="16"/>
  <c r="F79" i="16"/>
  <c r="G111" i="16"/>
  <c r="C215" i="16"/>
  <c r="J87" i="16"/>
  <c r="K55" i="16"/>
  <c r="K119" i="16"/>
  <c r="K219" i="16"/>
  <c r="G215" i="16"/>
  <c r="G212" i="16"/>
  <c r="I55" i="16"/>
  <c r="H87" i="16"/>
  <c r="I119" i="16"/>
  <c r="K61" i="16"/>
  <c r="J93" i="16"/>
  <c r="K125" i="16"/>
  <c r="K49" i="16"/>
  <c r="J81" i="16"/>
  <c r="K113" i="16"/>
  <c r="G74" i="16"/>
  <c r="H42" i="16"/>
  <c r="H106" i="16"/>
  <c r="H79" i="16"/>
  <c r="I47" i="16"/>
  <c r="I111" i="16"/>
  <c r="L52" i="16"/>
  <c r="K84" i="16"/>
  <c r="L116" i="16"/>
  <c r="D125" i="16"/>
  <c r="D61" i="16"/>
  <c r="C93" i="16"/>
  <c r="H81" i="16"/>
  <c r="I113" i="16"/>
  <c r="I49" i="16"/>
  <c r="C217" i="16"/>
  <c r="D116" i="16"/>
  <c r="C84" i="16"/>
  <c r="D52" i="16"/>
  <c r="F23" i="9" s="1"/>
  <c r="J40" i="16"/>
  <c r="I72" i="16"/>
  <c r="J104" i="16"/>
  <c r="F223" i="16"/>
  <c r="J229" i="16"/>
  <c r="E116" i="16"/>
  <c r="D84" i="16"/>
  <c r="E52" i="16"/>
  <c r="H219" i="16"/>
  <c r="D109" i="16"/>
  <c r="D45" i="16"/>
  <c r="F16" i="9" s="1"/>
  <c r="C77" i="16"/>
  <c r="F230" i="16"/>
  <c r="F220" i="16"/>
  <c r="F213" i="16"/>
  <c r="D104" i="16"/>
  <c r="C72" i="16"/>
  <c r="D40" i="16"/>
  <c r="F9" i="9" s="1"/>
  <c r="D226" i="16"/>
  <c r="J58" i="16"/>
  <c r="I90" i="16"/>
  <c r="J122" i="16"/>
  <c r="E211" i="16"/>
  <c r="I222" i="16"/>
  <c r="K41" i="16"/>
  <c r="J73" i="16"/>
  <c r="K105" i="16"/>
  <c r="D220" i="16"/>
  <c r="F106" i="16"/>
  <c r="E74" i="16"/>
  <c r="F42" i="16"/>
  <c r="C78" i="16"/>
  <c r="D46" i="16"/>
  <c r="F17" i="9" s="1"/>
  <c r="D110" i="16"/>
  <c r="C212" i="16"/>
  <c r="J121" i="16"/>
  <c r="J57" i="16"/>
  <c r="I89" i="16"/>
  <c r="H124" i="16"/>
  <c r="H60" i="16"/>
  <c r="G92" i="16"/>
  <c r="H224" i="16"/>
  <c r="H232" i="16"/>
  <c r="D216" i="16"/>
  <c r="I212" i="16"/>
  <c r="D114" i="16"/>
  <c r="C82" i="16"/>
  <c r="D50" i="16"/>
  <c r="F21" i="9" s="1"/>
  <c r="K227" i="16"/>
  <c r="E81" i="16"/>
  <c r="F49" i="16"/>
  <c r="F113" i="16"/>
  <c r="G218" i="16"/>
  <c r="H215" i="16"/>
  <c r="G124" i="16"/>
  <c r="F92" i="16"/>
  <c r="G60" i="16"/>
  <c r="H233" i="16"/>
  <c r="D221" i="16"/>
  <c r="J53" i="16"/>
  <c r="J117" i="16"/>
  <c r="I85" i="16"/>
  <c r="D49" i="16"/>
  <c r="F20" i="9" s="1"/>
  <c r="D113" i="16"/>
  <c r="C81" i="16"/>
  <c r="K112" i="16"/>
  <c r="J80" i="16"/>
  <c r="K48" i="16"/>
  <c r="E110" i="16"/>
  <c r="D78" i="16"/>
  <c r="E46" i="16"/>
  <c r="J218" i="16"/>
  <c r="K43" i="16"/>
  <c r="J75" i="16"/>
  <c r="K107" i="16"/>
  <c r="H210" i="16"/>
  <c r="L44" i="16"/>
  <c r="L108" i="16"/>
  <c r="K76" i="16"/>
  <c r="F102" i="16"/>
  <c r="E70" i="16"/>
  <c r="F38" i="16"/>
  <c r="F232" i="16"/>
  <c r="H125" i="16"/>
  <c r="G93" i="16"/>
  <c r="H61" i="16"/>
  <c r="H103" i="16"/>
  <c r="H39" i="16"/>
  <c r="G71" i="16"/>
  <c r="F214" i="16"/>
  <c r="E83" i="16"/>
  <c r="F115" i="16"/>
  <c r="F51" i="16"/>
  <c r="F221" i="16"/>
  <c r="D218" i="16"/>
  <c r="D85" i="16"/>
  <c r="E53" i="16"/>
  <c r="E117" i="16"/>
  <c r="H49" i="16"/>
  <c r="G81" i="16"/>
  <c r="H113" i="16"/>
  <c r="J77" i="16"/>
  <c r="K109" i="16"/>
  <c r="K45" i="16"/>
  <c r="I219" i="16"/>
  <c r="G210" i="16"/>
  <c r="H112" i="16"/>
  <c r="G80" i="16"/>
  <c r="H48" i="16"/>
  <c r="I217" i="16"/>
  <c r="C218" i="16"/>
  <c r="F121" i="16"/>
  <c r="E89" i="16"/>
  <c r="F57" i="16"/>
  <c r="C226" i="16"/>
  <c r="G227" i="16"/>
  <c r="D229" i="16"/>
  <c r="F226" i="16"/>
  <c r="F231" i="16"/>
  <c r="D222" i="16"/>
  <c r="F85" i="16"/>
  <c r="G53" i="16"/>
  <c r="G117" i="16"/>
  <c r="I50" i="16"/>
  <c r="I114" i="16"/>
  <c r="H82" i="16"/>
  <c r="H122" i="16"/>
  <c r="H58" i="16"/>
  <c r="G90" i="16"/>
  <c r="K231" i="16"/>
  <c r="F125" i="16"/>
  <c r="F61" i="16"/>
  <c r="E93" i="16"/>
  <c r="G224" i="16"/>
  <c r="G79" i="16"/>
  <c r="H47" i="16"/>
  <c r="H111" i="16"/>
  <c r="D231" i="16"/>
  <c r="C220" i="16"/>
  <c r="G222" i="16"/>
  <c r="F120" i="16"/>
  <c r="E88" i="16"/>
  <c r="F56" i="16"/>
  <c r="J217" i="16"/>
  <c r="G214" i="16"/>
  <c r="L47" i="16"/>
  <c r="K79" i="16"/>
  <c r="L111" i="16"/>
  <c r="K82" i="16"/>
  <c r="L50" i="16"/>
  <c r="L114" i="16"/>
  <c r="J39" i="16"/>
  <c r="J103" i="16"/>
  <c r="I71" i="16"/>
  <c r="D92" i="16"/>
  <c r="E60" i="16"/>
  <c r="E124" i="16"/>
  <c r="I210" i="16"/>
  <c r="K40" i="16"/>
  <c r="J72" i="16"/>
  <c r="K104" i="16"/>
  <c r="L54" i="16"/>
  <c r="L118" i="16"/>
  <c r="K86" i="16"/>
  <c r="I221" i="16"/>
  <c r="E92" i="16"/>
  <c r="F124" i="16"/>
  <c r="F60" i="16"/>
  <c r="E48" i="16"/>
  <c r="D80" i="16"/>
  <c r="E112" i="16"/>
  <c r="F90" i="16"/>
  <c r="G58" i="16"/>
  <c r="G122" i="16"/>
  <c r="K120" i="16"/>
  <c r="K56" i="16"/>
  <c r="J88" i="16"/>
  <c r="G119" i="16"/>
  <c r="G55" i="16"/>
  <c r="F87" i="16"/>
  <c r="I40" i="16"/>
  <c r="I104" i="16"/>
  <c r="H72" i="16"/>
  <c r="H89" i="16"/>
  <c r="I57" i="16"/>
  <c r="I121" i="16"/>
  <c r="D228" i="16"/>
  <c r="K228" i="16"/>
  <c r="K213" i="16"/>
  <c r="F224" i="16"/>
  <c r="I106" i="16"/>
  <c r="H74" i="16"/>
  <c r="I42" i="16"/>
  <c r="K224" i="16"/>
  <c r="H229" i="16"/>
  <c r="D118" i="16"/>
  <c r="D54" i="16"/>
  <c r="F25" i="9" s="1"/>
  <c r="C86" i="16"/>
  <c r="F227" i="16"/>
  <c r="C229" i="16"/>
  <c r="E114" i="16"/>
  <c r="D82" i="16"/>
  <c r="E50" i="16"/>
  <c r="I233" i="16"/>
  <c r="I230" i="16"/>
  <c r="E213" i="16"/>
  <c r="J211" i="16"/>
  <c r="L57" i="16"/>
  <c r="L121" i="16"/>
  <c r="K89" i="16"/>
  <c r="G228" i="16"/>
  <c r="I45" i="16"/>
  <c r="H77" i="16"/>
  <c r="I109" i="16"/>
  <c r="L55" i="16"/>
  <c r="K87" i="16"/>
  <c r="L119" i="16"/>
  <c r="C214" i="16"/>
  <c r="I46" i="16"/>
  <c r="H78" i="16"/>
  <c r="I110" i="16"/>
  <c r="G85" i="16"/>
  <c r="H53" i="16"/>
  <c r="H117" i="16"/>
  <c r="E43" i="16"/>
  <c r="E107" i="16"/>
  <c r="D75" i="16"/>
  <c r="H104" i="16"/>
  <c r="G72" i="16"/>
  <c r="H40" i="16"/>
  <c r="E223" i="16"/>
  <c r="G211" i="16"/>
  <c r="I82" i="16"/>
  <c r="J114" i="16"/>
  <c r="J50" i="16"/>
  <c r="I103" i="16"/>
  <c r="I39" i="16"/>
  <c r="H71" i="16"/>
  <c r="J231" i="16"/>
  <c r="H222" i="16"/>
  <c r="C71" i="16"/>
  <c r="D39" i="16"/>
  <c r="F8" i="9" s="1"/>
  <c r="D103" i="16"/>
  <c r="H225" i="16"/>
  <c r="E216" i="16"/>
  <c r="C225" i="16"/>
  <c r="F217" i="16"/>
  <c r="E90" i="16"/>
  <c r="F122" i="16"/>
  <c r="F58" i="16"/>
  <c r="K223" i="16"/>
  <c r="J230" i="16"/>
  <c r="C227" i="16"/>
  <c r="G114" i="16"/>
  <c r="F82" i="16"/>
  <c r="G50" i="16"/>
  <c r="K232" i="16"/>
  <c r="D48" i="16"/>
  <c r="F19" i="9" s="1"/>
  <c r="C80" i="16"/>
  <c r="D112" i="16"/>
  <c r="E221" i="16"/>
  <c r="J215" i="16"/>
  <c r="C233" i="16"/>
  <c r="I48" i="16"/>
  <c r="H80" i="16"/>
  <c r="I112" i="16"/>
  <c r="K220" i="16"/>
  <c r="G125" i="16"/>
  <c r="F93" i="16"/>
  <c r="G61" i="16"/>
  <c r="F219" i="16"/>
  <c r="L53" i="16"/>
  <c r="L117" i="16"/>
  <c r="K85" i="16"/>
  <c r="H211" i="16"/>
  <c r="F44" i="16"/>
  <c r="E76" i="16"/>
  <c r="F108" i="16"/>
  <c r="L38" i="16"/>
  <c r="L102" i="16"/>
  <c r="K70" i="16"/>
  <c r="I213" i="16"/>
  <c r="C228" i="16"/>
  <c r="J224" i="16"/>
  <c r="G221" i="16"/>
  <c r="E214" i="16"/>
  <c r="H212" i="16"/>
  <c r="J59" i="16"/>
  <c r="J123" i="16"/>
  <c r="I91" i="16"/>
  <c r="D230" i="16"/>
  <c r="J221" i="16"/>
  <c r="C92" i="16"/>
  <c r="D124" i="16"/>
  <c r="D60" i="16"/>
  <c r="F10" i="9" s="1"/>
  <c r="H227" i="16"/>
  <c r="I122" i="16"/>
  <c r="I58" i="16"/>
  <c r="H90" i="16"/>
  <c r="D227" i="16"/>
  <c r="F110" i="16"/>
  <c r="E78" i="16"/>
  <c r="F46" i="16"/>
  <c r="D43" i="16"/>
  <c r="F13" i="9" s="1"/>
  <c r="D107" i="16"/>
  <c r="C75" i="16"/>
  <c r="F233" i="16"/>
  <c r="I215" i="16"/>
  <c r="C211" i="16"/>
  <c r="K222" i="16"/>
  <c r="K212" i="16"/>
  <c r="G103" i="16"/>
  <c r="F71" i="16"/>
  <c r="G39" i="16"/>
  <c r="E118" i="16"/>
  <c r="D86" i="16"/>
  <c r="E54" i="16"/>
  <c r="G25" i="9" s="1"/>
  <c r="G225" i="16"/>
  <c r="G118" i="16"/>
  <c r="G54" i="16"/>
  <c r="F86" i="16"/>
  <c r="E225" i="16"/>
  <c r="K217" i="16"/>
  <c r="I209" i="16"/>
  <c r="I133" i="16"/>
  <c r="I101" i="16"/>
  <c r="I208" i="16"/>
  <c r="I132" i="16"/>
  <c r="I100" i="16"/>
  <c r="I68" i="16"/>
  <c r="I36" i="16"/>
  <c r="I37" i="16"/>
  <c r="I69" i="16"/>
  <c r="H13" i="12"/>
  <c r="E16" i="12"/>
  <c r="F15" i="12"/>
  <c r="G14" i="12"/>
  <c r="J4" i="16"/>
  <c r="C19" i="9" s="1"/>
  <c r="J5" i="16"/>
  <c r="C18" i="12"/>
  <c r="D17" i="12"/>
  <c r="J10" i="12"/>
  <c r="J102" i="12" s="1"/>
  <c r="J11" i="12"/>
  <c r="J103" i="12" s="1"/>
  <c r="A366" i="10"/>
  <c r="B366" i="10" s="1"/>
  <c r="B314" i="10"/>
  <c r="F26" i="9" l="1"/>
  <c r="F7" i="9"/>
  <c r="F28" i="9"/>
  <c r="F14" i="9"/>
  <c r="F12" i="9"/>
  <c r="F24" i="9"/>
  <c r="F18" i="9"/>
  <c r="K22" i="9"/>
  <c r="J22" i="9"/>
  <c r="K25" i="9"/>
  <c r="J25" i="9"/>
  <c r="K20" i="9"/>
  <c r="J20" i="9"/>
  <c r="K9" i="9"/>
  <c r="J9" i="9"/>
  <c r="K28" i="9"/>
  <c r="J28" i="9"/>
  <c r="K15" i="9"/>
  <c r="J15" i="9"/>
  <c r="K14" i="9"/>
  <c r="J14" i="9"/>
  <c r="K8" i="9"/>
  <c r="J8" i="9"/>
  <c r="K11" i="9"/>
  <c r="J11" i="9"/>
  <c r="K13" i="9"/>
  <c r="J13" i="9"/>
  <c r="K26" i="9"/>
  <c r="J26" i="9"/>
  <c r="K10" i="9"/>
  <c r="J10" i="9"/>
  <c r="K6" i="9"/>
  <c r="J6" i="9"/>
  <c r="K12" i="9"/>
  <c r="J12" i="9"/>
  <c r="K18" i="9"/>
  <c r="J18" i="9"/>
  <c r="K7" i="9"/>
  <c r="J7" i="9"/>
  <c r="K29" i="9"/>
  <c r="J29" i="9"/>
  <c r="K21" i="9"/>
  <c r="J21" i="9"/>
  <c r="K17" i="9"/>
  <c r="J17" i="9"/>
  <c r="K16" i="9"/>
  <c r="J16" i="9"/>
  <c r="K23" i="9"/>
  <c r="J23" i="9"/>
  <c r="K24" i="9"/>
  <c r="J24" i="9"/>
  <c r="K27" i="9"/>
  <c r="J27" i="9"/>
  <c r="K19" i="9"/>
  <c r="J19" i="9"/>
  <c r="G21" i="9"/>
  <c r="G11" i="9"/>
  <c r="G14" i="9"/>
  <c r="G13" i="9"/>
  <c r="G24" i="9"/>
  <c r="G18" i="9"/>
  <c r="G27" i="9"/>
  <c r="G26" i="9"/>
  <c r="G6" i="9"/>
  <c r="G15" i="9"/>
  <c r="G8" i="9"/>
  <c r="G9" i="9"/>
  <c r="G19" i="9"/>
  <c r="G10" i="9"/>
  <c r="G16" i="9"/>
  <c r="G22" i="9"/>
  <c r="G20" i="9"/>
  <c r="G17" i="9"/>
  <c r="G7" i="9"/>
  <c r="G12" i="9"/>
  <c r="G29" i="9"/>
  <c r="G28" i="9"/>
  <c r="G23" i="9"/>
  <c r="F29" i="9"/>
  <c r="F6" i="9"/>
  <c r="C24" i="9"/>
  <c r="E26" i="9"/>
  <c r="E10" i="9"/>
  <c r="E24" i="9"/>
  <c r="E27" i="9"/>
  <c r="D24" i="9"/>
  <c r="D27" i="9"/>
  <c r="C22" i="9"/>
  <c r="C8" i="9"/>
  <c r="D25" i="9"/>
  <c r="D14" i="9"/>
  <c r="D10" i="9"/>
  <c r="D12" i="9"/>
  <c r="E9" i="9"/>
  <c r="E16" i="9"/>
  <c r="D9" i="9"/>
  <c r="D16" i="9"/>
  <c r="C9" i="9"/>
  <c r="C28" i="9"/>
  <c r="D19" i="9"/>
  <c r="D26" i="9"/>
  <c r="E14" i="9"/>
  <c r="C6" i="9"/>
  <c r="E6" i="9"/>
  <c r="C18" i="9"/>
  <c r="E28" i="9"/>
  <c r="E20" i="9"/>
  <c r="D28" i="9"/>
  <c r="D20" i="9"/>
  <c r="C26" i="9"/>
  <c r="C17" i="9"/>
  <c r="E29" i="9"/>
  <c r="R129" i="16" s="1"/>
  <c r="E23" i="9"/>
  <c r="D29" i="9"/>
  <c r="D23" i="9"/>
  <c r="C13" i="9"/>
  <c r="C14" i="9"/>
  <c r="J163" i="16"/>
  <c r="J177" i="16"/>
  <c r="E15" i="9"/>
  <c r="E13" i="9"/>
  <c r="D15" i="9"/>
  <c r="D13" i="9"/>
  <c r="C16" i="9"/>
  <c r="J176" i="16"/>
  <c r="E17" i="9"/>
  <c r="E7" i="9"/>
  <c r="D17" i="9"/>
  <c r="D7" i="9"/>
  <c r="C29" i="9"/>
  <c r="C11" i="9"/>
  <c r="E11" i="9"/>
  <c r="E8" i="9"/>
  <c r="D11" i="9"/>
  <c r="D8" i="9"/>
  <c r="C27" i="9"/>
  <c r="C20" i="9"/>
  <c r="D18" i="9"/>
  <c r="E18" i="9"/>
  <c r="E19" i="9"/>
  <c r="C7" i="9"/>
  <c r="C23" i="9"/>
  <c r="E25" i="9"/>
  <c r="C21" i="9"/>
  <c r="C12" i="9"/>
  <c r="E12" i="9"/>
  <c r="D6" i="9"/>
  <c r="C10" i="9"/>
  <c r="E21" i="9"/>
  <c r="E22" i="9"/>
  <c r="D21" i="9"/>
  <c r="D22" i="9"/>
  <c r="C25" i="9"/>
  <c r="C15" i="9"/>
  <c r="R71" i="16"/>
  <c r="J162" i="16"/>
  <c r="R77" i="16"/>
  <c r="R84" i="16"/>
  <c r="R72" i="16"/>
  <c r="R87" i="16"/>
  <c r="R79" i="16"/>
  <c r="R69" i="16"/>
  <c r="R81" i="16"/>
  <c r="R86" i="16"/>
  <c r="R82" i="16"/>
  <c r="R88" i="16"/>
  <c r="P88" i="16" s="1"/>
  <c r="R70" i="16"/>
  <c r="R83" i="16"/>
  <c r="R74" i="16"/>
  <c r="R85" i="16"/>
  <c r="R68" i="16"/>
  <c r="R78" i="16"/>
  <c r="R76" i="16"/>
  <c r="R80" i="16"/>
  <c r="R75" i="16"/>
  <c r="J209" i="16"/>
  <c r="J133" i="16"/>
  <c r="J101" i="16"/>
  <c r="J208" i="16"/>
  <c r="R173" i="16" s="1"/>
  <c r="J132" i="16"/>
  <c r="R128" i="16" s="1"/>
  <c r="J100" i="16"/>
  <c r="J37" i="16"/>
  <c r="J69" i="16"/>
  <c r="J68" i="16"/>
  <c r="I9" i="9" s="1"/>
  <c r="J36" i="16"/>
  <c r="I13" i="12"/>
  <c r="E17" i="12"/>
  <c r="F16" i="12"/>
  <c r="H14" i="12"/>
  <c r="G15" i="12"/>
  <c r="K5" i="16"/>
  <c r="C19" i="12"/>
  <c r="D18" i="12"/>
  <c r="K11" i="12"/>
  <c r="K103" i="12" s="1"/>
  <c r="R172" i="16" l="1"/>
  <c r="R14" i="16"/>
  <c r="R21" i="16"/>
  <c r="R175" i="16"/>
  <c r="R177" i="16"/>
  <c r="R13" i="16"/>
  <c r="R18" i="16"/>
  <c r="R176" i="16"/>
  <c r="R8" i="16"/>
  <c r="R15" i="16"/>
  <c r="R185" i="16"/>
  <c r="R17" i="16"/>
  <c r="R9" i="16"/>
  <c r="R186" i="16"/>
  <c r="R24" i="16"/>
  <c r="R22" i="16"/>
  <c r="R184" i="16"/>
  <c r="R19" i="16"/>
  <c r="R7" i="16"/>
  <c r="R182" i="16"/>
  <c r="R183" i="16"/>
  <c r="R12" i="16"/>
  <c r="R179" i="16"/>
  <c r="R11" i="16"/>
  <c r="R20" i="16"/>
  <c r="R16" i="16"/>
  <c r="R180" i="16"/>
  <c r="R187" i="16"/>
  <c r="R23" i="16"/>
  <c r="R6" i="16"/>
  <c r="R181" i="16"/>
  <c r="R10" i="16"/>
  <c r="L5" i="16"/>
  <c r="L163" i="16" s="1"/>
  <c r="K177" i="16"/>
  <c r="L209" i="16"/>
  <c r="L101" i="16"/>
  <c r="K163" i="16"/>
  <c r="P80" i="16"/>
  <c r="P85" i="16"/>
  <c r="S187" i="16" s="1"/>
  <c r="R130" i="16"/>
  <c r="P72" i="16"/>
  <c r="P71" i="16"/>
  <c r="P78" i="16"/>
  <c r="P83" i="16"/>
  <c r="S185" i="16" s="1"/>
  <c r="P86" i="16"/>
  <c r="P79" i="16"/>
  <c r="S181" i="16" s="1"/>
  <c r="P77" i="16"/>
  <c r="S179" i="16" s="1"/>
  <c r="P75" i="16"/>
  <c r="P68" i="16"/>
  <c r="P70" i="16"/>
  <c r="S172" i="16" s="1"/>
  <c r="P81" i="16"/>
  <c r="S183" i="16" s="1"/>
  <c r="P87" i="16"/>
  <c r="I24" i="9"/>
  <c r="H18" i="9"/>
  <c r="P76" i="16"/>
  <c r="S178" i="16" s="1"/>
  <c r="P74" i="16"/>
  <c r="S176" i="16" s="1"/>
  <c r="P82" i="16"/>
  <c r="P69" i="16"/>
  <c r="P84" i="16"/>
  <c r="S186" i="16" s="1"/>
  <c r="I22" i="9"/>
  <c r="I29" i="9"/>
  <c r="I17" i="9"/>
  <c r="I14" i="9"/>
  <c r="H7" i="9"/>
  <c r="I20" i="9"/>
  <c r="H12" i="9"/>
  <c r="I19" i="9"/>
  <c r="I12" i="9"/>
  <c r="H10" i="9"/>
  <c r="H28" i="9"/>
  <c r="H6" i="9"/>
  <c r="H27" i="9"/>
  <c r="H22" i="9"/>
  <c r="H13" i="9"/>
  <c r="I11" i="9"/>
  <c r="K209" i="16"/>
  <c r="K133" i="16"/>
  <c r="K101" i="16"/>
  <c r="H11" i="9"/>
  <c r="H15" i="9"/>
  <c r="I27" i="9"/>
  <c r="I25" i="9"/>
  <c r="I7" i="9"/>
  <c r="H8" i="9"/>
  <c r="I10" i="9"/>
  <c r="H23" i="9"/>
  <c r="I15" i="9"/>
  <c r="I18" i="9"/>
  <c r="I26" i="9"/>
  <c r="H9" i="9"/>
  <c r="I21" i="9"/>
  <c r="I28" i="9"/>
  <c r="I8" i="9"/>
  <c r="H21" i="9"/>
  <c r="I13" i="9"/>
  <c r="H16" i="9"/>
  <c r="I16" i="9"/>
  <c r="I6" i="9"/>
  <c r="H25" i="9"/>
  <c r="H17" i="9"/>
  <c r="H24" i="9"/>
  <c r="H20" i="9"/>
  <c r="H26" i="9"/>
  <c r="H29" i="9"/>
  <c r="I23" i="9"/>
  <c r="H19" i="9"/>
  <c r="H14" i="9"/>
  <c r="K69" i="16"/>
  <c r="K37" i="16"/>
  <c r="J13" i="12"/>
  <c r="H15" i="12"/>
  <c r="I14" i="12"/>
  <c r="G16" i="12"/>
  <c r="E18" i="12"/>
  <c r="F17" i="12"/>
  <c r="C20" i="12"/>
  <c r="D19" i="12"/>
  <c r="L11" i="12"/>
  <c r="M11" i="12" s="1"/>
  <c r="U179" i="16" l="1"/>
  <c r="AA175" i="16" s="1"/>
  <c r="S177" i="16"/>
  <c r="U186" i="16"/>
  <c r="S184" i="16"/>
  <c r="U184" i="16" s="1"/>
  <c r="Z178" i="16" s="1"/>
  <c r="S173" i="16"/>
  <c r="U173" i="16" s="1"/>
  <c r="AA172" i="16" s="1"/>
  <c r="U176" i="16"/>
  <c r="X175" i="16" s="1"/>
  <c r="S174" i="16"/>
  <c r="S180" i="16"/>
  <c r="U180" i="16" s="1"/>
  <c r="S182" i="16"/>
  <c r="U182" i="16" s="1"/>
  <c r="X178" i="16" s="1"/>
  <c r="U187" i="16"/>
  <c r="U181" i="16"/>
  <c r="U183" i="16"/>
  <c r="Y178" i="16" s="1"/>
  <c r="S171" i="16"/>
  <c r="S170" i="16"/>
  <c r="U172" i="16"/>
  <c r="Z172" i="16" s="1"/>
  <c r="L69" i="16"/>
  <c r="M5" i="16"/>
  <c r="L177" i="16"/>
  <c r="L133" i="16"/>
  <c r="L37" i="16"/>
  <c r="M103" i="12"/>
  <c r="N11" i="12"/>
  <c r="N103" i="12" s="1"/>
  <c r="L103" i="12"/>
  <c r="R73" i="16"/>
  <c r="P73" i="16" s="1"/>
  <c r="S175" i="16" s="1"/>
  <c r="U175" i="16" s="1"/>
  <c r="S134" i="16"/>
  <c r="R170" i="16"/>
  <c r="K13" i="12"/>
  <c r="G17" i="12"/>
  <c r="I15" i="12"/>
  <c r="E19" i="12"/>
  <c r="F18" i="12"/>
  <c r="H16" i="12"/>
  <c r="J14" i="12"/>
  <c r="C21" i="12"/>
  <c r="D20" i="12"/>
  <c r="AC178" i="16" l="1"/>
  <c r="AB178" i="16"/>
  <c r="AC175" i="16"/>
  <c r="AB175" i="16"/>
  <c r="AC172" i="16"/>
  <c r="U185" i="16"/>
  <c r="U170" i="16"/>
  <c r="S188" i="16"/>
  <c r="M177" i="16"/>
  <c r="M209" i="16"/>
  <c r="M69" i="16"/>
  <c r="M37" i="16"/>
  <c r="M101" i="16"/>
  <c r="M133" i="16"/>
  <c r="N5" i="16"/>
  <c r="M163" i="16"/>
  <c r="U70" i="16"/>
  <c r="T70" i="16" s="1"/>
  <c r="U74" i="16"/>
  <c r="T74" i="16" s="1"/>
  <c r="U73" i="16"/>
  <c r="T73" i="16" s="1"/>
  <c r="U68" i="16"/>
  <c r="T68" i="16" s="1"/>
  <c r="U71" i="16"/>
  <c r="T71" i="16" s="1"/>
  <c r="U77" i="16"/>
  <c r="T77" i="16" s="1"/>
  <c r="U72" i="16"/>
  <c r="T72" i="16" s="1"/>
  <c r="U69" i="16"/>
  <c r="T69" i="16" s="1"/>
  <c r="U75" i="16"/>
  <c r="T75" i="16" s="1"/>
  <c r="U76" i="16"/>
  <c r="T76" i="16" s="1"/>
  <c r="R131" i="16"/>
  <c r="R171" i="16"/>
  <c r="L13" i="12"/>
  <c r="M13" i="12" s="1"/>
  <c r="N13" i="12" s="1"/>
  <c r="K14" i="12"/>
  <c r="J15" i="12"/>
  <c r="I16" i="12"/>
  <c r="H17" i="12"/>
  <c r="E20" i="12"/>
  <c r="G18" i="12"/>
  <c r="F19" i="12"/>
  <c r="C22" i="12"/>
  <c r="D21" i="12"/>
  <c r="X172" i="16" l="1"/>
  <c r="AA178" i="16"/>
  <c r="U177" i="16"/>
  <c r="Y175" i="16" s="1"/>
  <c r="N177" i="16"/>
  <c r="N133" i="16"/>
  <c r="N37" i="16"/>
  <c r="N163" i="16"/>
  <c r="N69" i="16"/>
  <c r="N101" i="16"/>
  <c r="N209" i="16"/>
  <c r="U78" i="16"/>
  <c r="U79" i="16" s="1"/>
  <c r="U171" i="16"/>
  <c r="Y172" i="16" s="1"/>
  <c r="G19" i="12"/>
  <c r="J16" i="12"/>
  <c r="H18" i="12"/>
  <c r="K15" i="12"/>
  <c r="F20" i="12"/>
  <c r="L14" i="12"/>
  <c r="M14" i="12" s="1"/>
  <c r="N14" i="12" s="1"/>
  <c r="E21" i="12"/>
  <c r="I17" i="12"/>
  <c r="C23" i="12"/>
  <c r="D22" i="12"/>
  <c r="R174" i="16" l="1"/>
  <c r="R178" i="16"/>
  <c r="J17" i="12"/>
  <c r="L15" i="12"/>
  <c r="M15" i="12" s="1"/>
  <c r="N15" i="12" s="1"/>
  <c r="F21" i="12"/>
  <c r="I18" i="12"/>
  <c r="K16" i="12"/>
  <c r="E22" i="12"/>
  <c r="G20" i="12"/>
  <c r="H19" i="12"/>
  <c r="C24" i="12"/>
  <c r="D23" i="12"/>
  <c r="U174" i="16" l="1"/>
  <c r="R188" i="16"/>
  <c r="U178" i="16"/>
  <c r="F22" i="12"/>
  <c r="E23" i="12"/>
  <c r="L16" i="12"/>
  <c r="M16" i="12" s="1"/>
  <c r="N16" i="12" s="1"/>
  <c r="K17" i="12"/>
  <c r="I19" i="12"/>
  <c r="J18" i="12"/>
  <c r="H20" i="12"/>
  <c r="G21" i="12"/>
  <c r="C25" i="12"/>
  <c r="D24" i="12"/>
  <c r="AB172" i="16" l="1"/>
  <c r="Z175" i="16"/>
  <c r="K18" i="12"/>
  <c r="F23" i="12"/>
  <c r="E24" i="12"/>
  <c r="J19" i="12"/>
  <c r="G22" i="12"/>
  <c r="H21" i="12"/>
  <c r="L17" i="12"/>
  <c r="M17" i="12" s="1"/>
  <c r="N17" i="12" s="1"/>
  <c r="I20" i="12"/>
  <c r="C26" i="12"/>
  <c r="D25" i="12"/>
  <c r="AC179" i="16" l="1"/>
  <c r="I21" i="12"/>
  <c r="G23" i="12"/>
  <c r="H22" i="12"/>
  <c r="L18" i="12"/>
  <c r="M18" i="12" s="1"/>
  <c r="N18" i="12" s="1"/>
  <c r="J20" i="12"/>
  <c r="K19" i="12"/>
  <c r="E25" i="12"/>
  <c r="F24" i="12"/>
  <c r="C27" i="12"/>
  <c r="D26" i="12"/>
  <c r="L19" i="12" l="1"/>
  <c r="M19" i="12" s="1"/>
  <c r="N19" i="12" s="1"/>
  <c r="H23" i="12"/>
  <c r="K20" i="12"/>
  <c r="J21" i="12"/>
  <c r="E26" i="12"/>
  <c r="G24" i="12"/>
  <c r="F25" i="12"/>
  <c r="I22" i="12"/>
  <c r="C28" i="12"/>
  <c r="D27" i="12"/>
  <c r="F26" i="12" l="1"/>
  <c r="E27" i="12"/>
  <c r="J22" i="12"/>
  <c r="K21" i="12"/>
  <c r="H24" i="12"/>
  <c r="I23" i="12"/>
  <c r="G25" i="12"/>
  <c r="L20" i="12"/>
  <c r="M20" i="12" s="1"/>
  <c r="N20" i="12" s="1"/>
  <c r="C29" i="12"/>
  <c r="D28" i="12"/>
  <c r="J23" i="12" l="1"/>
  <c r="F27" i="12"/>
  <c r="E28" i="12"/>
  <c r="I24" i="12"/>
  <c r="G26" i="12"/>
  <c r="L21" i="12"/>
  <c r="M21" i="12" s="1"/>
  <c r="N21" i="12" s="1"/>
  <c r="H25" i="12"/>
  <c r="K22" i="12"/>
  <c r="C30" i="12"/>
  <c r="D29" i="12"/>
  <c r="E29" i="12" l="1"/>
  <c r="G27" i="12"/>
  <c r="H26" i="12"/>
  <c r="K23" i="12"/>
  <c r="L22" i="12"/>
  <c r="M22" i="12" s="1"/>
  <c r="N22" i="12" s="1"/>
  <c r="J24" i="12"/>
  <c r="I25" i="12"/>
  <c r="F28" i="12"/>
  <c r="C31" i="12"/>
  <c r="D30" i="12"/>
  <c r="E30" i="12" l="1"/>
  <c r="K24" i="12"/>
  <c r="H27" i="12"/>
  <c r="F29" i="12"/>
  <c r="G28" i="12"/>
  <c r="L23" i="12"/>
  <c r="M23" i="12" s="1"/>
  <c r="N23" i="12" s="1"/>
  <c r="J25" i="12"/>
  <c r="I26" i="12"/>
  <c r="C32" i="12"/>
  <c r="D31" i="12"/>
  <c r="L24" i="12" l="1"/>
  <c r="M24" i="12" s="1"/>
  <c r="N24" i="12" s="1"/>
  <c r="H28" i="12"/>
  <c r="F30" i="12"/>
  <c r="E31" i="12"/>
  <c r="J26" i="12"/>
  <c r="G29" i="12"/>
  <c r="K25" i="12"/>
  <c r="I27" i="12"/>
  <c r="C33" i="12"/>
  <c r="D32" i="12"/>
  <c r="H29" i="12" l="1"/>
  <c r="I28" i="12"/>
  <c r="E32" i="12"/>
  <c r="K26" i="12"/>
  <c r="J27" i="12"/>
  <c r="F31" i="12"/>
  <c r="L25" i="12"/>
  <c r="M25" i="12" s="1"/>
  <c r="N25" i="12" s="1"/>
  <c r="G30" i="12"/>
  <c r="C34" i="12"/>
  <c r="D33" i="12"/>
  <c r="G31" i="12" l="1"/>
  <c r="J28" i="12"/>
  <c r="E33" i="12"/>
  <c r="K27" i="12"/>
  <c r="I29" i="12"/>
  <c r="H30" i="12"/>
  <c r="L26" i="12"/>
  <c r="M26" i="12" s="1"/>
  <c r="N26" i="12" s="1"/>
  <c r="F32" i="12"/>
  <c r="C35" i="12"/>
  <c r="D34" i="12"/>
  <c r="E34" i="12" l="1"/>
  <c r="I30" i="12"/>
  <c r="K28" i="12"/>
  <c r="J29" i="12"/>
  <c r="H31" i="12"/>
  <c r="G32" i="12"/>
  <c r="L27" i="12"/>
  <c r="M27" i="12" s="1"/>
  <c r="N27" i="12" s="1"/>
  <c r="F33" i="12"/>
  <c r="C36" i="12"/>
  <c r="D35" i="12"/>
  <c r="E35" i="12" l="1"/>
  <c r="H32" i="12"/>
  <c r="J30" i="12"/>
  <c r="I31" i="12"/>
  <c r="F34" i="12"/>
  <c r="G33" i="12"/>
  <c r="K29" i="12"/>
  <c r="L28" i="12"/>
  <c r="M28" i="12" s="1"/>
  <c r="N28" i="12" s="1"/>
  <c r="C37" i="12"/>
  <c r="D36" i="12"/>
  <c r="G34" i="12" l="1"/>
  <c r="F35" i="12"/>
  <c r="E36" i="12"/>
  <c r="J31" i="12"/>
  <c r="L29" i="12"/>
  <c r="M29" i="12" s="1"/>
  <c r="N29" i="12" s="1"/>
  <c r="K30" i="12"/>
  <c r="H33" i="12"/>
  <c r="I32" i="12"/>
  <c r="C38" i="12"/>
  <c r="D37" i="12"/>
  <c r="F36" i="12" l="1"/>
  <c r="H34" i="12"/>
  <c r="L30" i="12"/>
  <c r="M30" i="12" s="1"/>
  <c r="N30" i="12" s="1"/>
  <c r="E37" i="12"/>
  <c r="J32" i="12"/>
  <c r="K31" i="12"/>
  <c r="I33" i="12"/>
  <c r="G35" i="12"/>
  <c r="C39" i="12"/>
  <c r="D38" i="12"/>
  <c r="H35" i="12" l="1"/>
  <c r="F37" i="12"/>
  <c r="E38" i="12"/>
  <c r="I34" i="12"/>
  <c r="J33" i="12"/>
  <c r="L31" i="12"/>
  <c r="M31" i="12" s="1"/>
  <c r="N31" i="12" s="1"/>
  <c r="K32" i="12"/>
  <c r="G36" i="12"/>
  <c r="C40" i="12"/>
  <c r="D39" i="12"/>
  <c r="F38" i="12" l="1"/>
  <c r="L32" i="12"/>
  <c r="M32" i="12" s="1"/>
  <c r="N32" i="12" s="1"/>
  <c r="G37" i="12"/>
  <c r="I35" i="12"/>
  <c r="K33" i="12"/>
  <c r="E39" i="12"/>
  <c r="H36" i="12"/>
  <c r="J34" i="12"/>
  <c r="C41" i="12"/>
  <c r="D40" i="12"/>
  <c r="K34" i="12" l="1"/>
  <c r="H37" i="12"/>
  <c r="F39" i="12"/>
  <c r="E40" i="12"/>
  <c r="I36" i="12"/>
  <c r="L33" i="12"/>
  <c r="M33" i="12" s="1"/>
  <c r="N33" i="12" s="1"/>
  <c r="G38" i="12"/>
  <c r="J35" i="12"/>
  <c r="C42" i="12"/>
  <c r="D41" i="12"/>
  <c r="K35" i="12" l="1"/>
  <c r="J36" i="12"/>
  <c r="L34" i="12"/>
  <c r="M34" i="12" s="1"/>
  <c r="N34" i="12" s="1"/>
  <c r="E41" i="12"/>
  <c r="F40" i="12"/>
  <c r="H38" i="12"/>
  <c r="G39" i="12"/>
  <c r="I37" i="12"/>
  <c r="C43" i="12"/>
  <c r="D42" i="12"/>
  <c r="E42" i="12" l="1"/>
  <c r="H39" i="12"/>
  <c r="J37" i="12"/>
  <c r="I38" i="12"/>
  <c r="F41" i="12"/>
  <c r="K36" i="12"/>
  <c r="G40" i="12"/>
  <c r="L35" i="12"/>
  <c r="M35" i="12" s="1"/>
  <c r="N35" i="12" s="1"/>
  <c r="C44" i="12"/>
  <c r="D43" i="12"/>
  <c r="E43" i="12" l="1"/>
  <c r="H40" i="12"/>
  <c r="K37" i="12"/>
  <c r="G41" i="12"/>
  <c r="J38" i="12"/>
  <c r="L36" i="12"/>
  <c r="M36" i="12" s="1"/>
  <c r="N36" i="12" s="1"/>
  <c r="I39" i="12"/>
  <c r="F42" i="12"/>
  <c r="C45" i="12"/>
  <c r="D44" i="12"/>
  <c r="I40" i="12" l="1"/>
  <c r="K38" i="12"/>
  <c r="F43" i="12"/>
  <c r="E44" i="12"/>
  <c r="H41" i="12"/>
  <c r="G42" i="12"/>
  <c r="J39" i="12"/>
  <c r="L37" i="12"/>
  <c r="M37" i="12" s="1"/>
  <c r="N37" i="12" s="1"/>
  <c r="C46" i="12"/>
  <c r="D45" i="12"/>
  <c r="L38" i="12" l="1"/>
  <c r="M38" i="12" s="1"/>
  <c r="N38" i="12" s="1"/>
  <c r="J40" i="12"/>
  <c r="E45" i="12"/>
  <c r="F44" i="12"/>
  <c r="K39" i="12"/>
  <c r="G43" i="12"/>
  <c r="H42" i="12"/>
  <c r="I41" i="12"/>
  <c r="C47" i="12"/>
  <c r="D46" i="12"/>
  <c r="L39" i="12" l="1"/>
  <c r="M39" i="12" s="1"/>
  <c r="N39" i="12" s="1"/>
  <c r="E46" i="12"/>
  <c r="J41" i="12"/>
  <c r="G44" i="12"/>
  <c r="F45" i="12"/>
  <c r="I42" i="12"/>
  <c r="H43" i="12"/>
  <c r="K40" i="12"/>
  <c r="C48" i="12"/>
  <c r="D47" i="12"/>
  <c r="G45" i="12" l="1"/>
  <c r="L40" i="12"/>
  <c r="M40" i="12" s="1"/>
  <c r="N40" i="12" s="1"/>
  <c r="H44" i="12"/>
  <c r="J42" i="12"/>
  <c r="F46" i="12"/>
  <c r="E47" i="12"/>
  <c r="I43" i="12"/>
  <c r="K41" i="12"/>
  <c r="C49" i="12"/>
  <c r="D48" i="12"/>
  <c r="E48" i="12" l="1"/>
  <c r="L41" i="12"/>
  <c r="M41" i="12" s="1"/>
  <c r="N41" i="12" s="1"/>
  <c r="K42" i="12"/>
  <c r="J43" i="12"/>
  <c r="G46" i="12"/>
  <c r="I44" i="12"/>
  <c r="F47" i="12"/>
  <c r="H45" i="12"/>
  <c r="C50" i="12"/>
  <c r="D49" i="12"/>
  <c r="I45" i="12" l="1"/>
  <c r="K43" i="12"/>
  <c r="E49" i="12"/>
  <c r="H46" i="12"/>
  <c r="F48" i="12"/>
  <c r="G47" i="12"/>
  <c r="L42" i="12"/>
  <c r="M42" i="12" s="1"/>
  <c r="N42" i="12" s="1"/>
  <c r="J44" i="12"/>
  <c r="C51" i="12"/>
  <c r="D50" i="12"/>
  <c r="I46" i="12" l="1"/>
  <c r="F49" i="12"/>
  <c r="H47" i="12"/>
  <c r="K44" i="12"/>
  <c r="E50" i="12"/>
  <c r="L43" i="12"/>
  <c r="M43" i="12" s="1"/>
  <c r="N43" i="12" s="1"/>
  <c r="G48" i="12"/>
  <c r="J45" i="12"/>
  <c r="C52" i="12"/>
  <c r="D51" i="12"/>
  <c r="F50" i="12" l="1"/>
  <c r="K45" i="12"/>
  <c r="L44" i="12"/>
  <c r="M44" i="12" s="1"/>
  <c r="N44" i="12" s="1"/>
  <c r="I47" i="12"/>
  <c r="H48" i="12"/>
  <c r="E51" i="12"/>
  <c r="G49" i="12"/>
  <c r="J46" i="12"/>
  <c r="C53" i="12"/>
  <c r="D52" i="12"/>
  <c r="J47" i="12" l="1"/>
  <c r="K46" i="12"/>
  <c r="H49" i="12"/>
  <c r="E52" i="12"/>
  <c r="L45" i="12"/>
  <c r="M45" i="12" s="1"/>
  <c r="N45" i="12" s="1"/>
  <c r="F51" i="12"/>
  <c r="I48" i="12"/>
  <c r="G50" i="12"/>
  <c r="C54" i="12"/>
  <c r="D53" i="12"/>
  <c r="C166" i="16"/>
  <c r="G51" i="12" l="1"/>
  <c r="H50" i="12"/>
  <c r="F52" i="12"/>
  <c r="L46" i="12"/>
  <c r="M46" i="12" s="1"/>
  <c r="N46" i="12" s="1"/>
  <c r="J48" i="12"/>
  <c r="I49" i="12"/>
  <c r="E53" i="12"/>
  <c r="K47" i="12"/>
  <c r="C55" i="12"/>
  <c r="D54" i="12"/>
  <c r="D166" i="16"/>
  <c r="C167" i="16"/>
  <c r="L47" i="12" l="1"/>
  <c r="M47" i="12" s="1"/>
  <c r="N47" i="12" s="1"/>
  <c r="F53" i="12"/>
  <c r="G52" i="12"/>
  <c r="E54" i="12"/>
  <c r="J49" i="12"/>
  <c r="I50" i="12"/>
  <c r="K48" i="12"/>
  <c r="H51" i="12"/>
  <c r="C56" i="12"/>
  <c r="D55" i="12"/>
  <c r="D167" i="16"/>
  <c r="E166" i="16"/>
  <c r="C168" i="16"/>
  <c r="K49" i="12" l="1"/>
  <c r="I51" i="12"/>
  <c r="F54" i="12"/>
  <c r="L48" i="12"/>
  <c r="M48" i="12" s="1"/>
  <c r="N48" i="12" s="1"/>
  <c r="H52" i="12"/>
  <c r="E55" i="12"/>
  <c r="J50" i="12"/>
  <c r="G53" i="12"/>
  <c r="C57" i="12"/>
  <c r="D56" i="12"/>
  <c r="D168" i="16"/>
  <c r="F166" i="16"/>
  <c r="C169" i="16"/>
  <c r="E167" i="16"/>
  <c r="F55" i="12" l="1"/>
  <c r="J51" i="12"/>
  <c r="I52" i="12"/>
  <c r="L49" i="12"/>
  <c r="M49" i="12" s="1"/>
  <c r="N49" i="12" s="1"/>
  <c r="H53" i="12"/>
  <c r="K50" i="12"/>
  <c r="G54" i="12"/>
  <c r="E56" i="12"/>
  <c r="C58" i="12"/>
  <c r="D57" i="12"/>
  <c r="E168" i="16"/>
  <c r="F167" i="16"/>
  <c r="C170" i="16"/>
  <c r="D169" i="16"/>
  <c r="G166" i="16"/>
  <c r="G55" i="12" l="1"/>
  <c r="F56" i="12"/>
  <c r="J52" i="12"/>
  <c r="H54" i="12"/>
  <c r="E57" i="12"/>
  <c r="L50" i="12"/>
  <c r="M50" i="12" s="1"/>
  <c r="N50" i="12" s="1"/>
  <c r="K51" i="12"/>
  <c r="I53" i="12"/>
  <c r="C59" i="12"/>
  <c r="D58" i="12"/>
  <c r="E169" i="16"/>
  <c r="D170" i="16"/>
  <c r="F168" i="16"/>
  <c r="C171" i="16"/>
  <c r="G167" i="16"/>
  <c r="H166" i="16"/>
  <c r="E58" i="12" l="1"/>
  <c r="G56" i="12"/>
  <c r="I54" i="12"/>
  <c r="D59" i="12"/>
  <c r="H55" i="12"/>
  <c r="J53" i="12"/>
  <c r="L51" i="12"/>
  <c r="M51" i="12" s="1"/>
  <c r="N51" i="12" s="1"/>
  <c r="K52" i="12"/>
  <c r="F57" i="12"/>
  <c r="F169" i="16"/>
  <c r="H167" i="16"/>
  <c r="G168" i="16"/>
  <c r="E170" i="16"/>
  <c r="I166" i="16"/>
  <c r="D171" i="16"/>
  <c r="I55" i="12" l="1"/>
  <c r="F58" i="12"/>
  <c r="L52" i="12"/>
  <c r="M52" i="12" s="1"/>
  <c r="N52" i="12" s="1"/>
  <c r="E59" i="12"/>
  <c r="J54" i="12"/>
  <c r="K53" i="12"/>
  <c r="H56" i="12"/>
  <c r="G57" i="12"/>
  <c r="H168" i="16"/>
  <c r="J166" i="16"/>
  <c r="E171" i="16"/>
  <c r="I167" i="16"/>
  <c r="G169" i="16"/>
  <c r="F170" i="16"/>
  <c r="L53" i="12" l="1"/>
  <c r="M53" i="12" s="1"/>
  <c r="N53" i="12" s="1"/>
  <c r="G58" i="12"/>
  <c r="J55" i="12"/>
  <c r="K54" i="12"/>
  <c r="H57" i="12"/>
  <c r="F59" i="12"/>
  <c r="I56" i="12"/>
  <c r="I168" i="16"/>
  <c r="K166" i="16"/>
  <c r="J167" i="16"/>
  <c r="F171" i="16"/>
  <c r="G170" i="16"/>
  <c r="H169" i="16"/>
  <c r="L54" i="12" l="1"/>
  <c r="M54" i="12" s="1"/>
  <c r="J56" i="12"/>
  <c r="K55" i="12"/>
  <c r="G59" i="12"/>
  <c r="H58" i="12"/>
  <c r="I57" i="12"/>
  <c r="M166" i="16"/>
  <c r="I169" i="16"/>
  <c r="J168" i="16"/>
  <c r="H170" i="16"/>
  <c r="G171" i="16"/>
  <c r="K167" i="16"/>
  <c r="N54" i="12" l="1"/>
  <c r="H59" i="12"/>
  <c r="L55" i="12"/>
  <c r="M55" i="12" s="1"/>
  <c r="J57" i="12"/>
  <c r="K56" i="12"/>
  <c r="I58" i="12"/>
  <c r="N166" i="16"/>
  <c r="I170" i="16"/>
  <c r="M167" i="16"/>
  <c r="L166" i="16"/>
  <c r="K168" i="16"/>
  <c r="J169" i="16"/>
  <c r="H171" i="16"/>
  <c r="N55" i="12" l="1"/>
  <c r="J58" i="12"/>
  <c r="I59" i="12"/>
  <c r="L56" i="12"/>
  <c r="M56" i="12" s="1"/>
  <c r="K57" i="12"/>
  <c r="N167" i="16"/>
  <c r="J170" i="16"/>
  <c r="I171" i="16"/>
  <c r="M168" i="16"/>
  <c r="K169" i="16"/>
  <c r="L167" i="16"/>
  <c r="N56" i="12" l="1"/>
  <c r="K58" i="12"/>
  <c r="J59" i="12"/>
  <c r="L57" i="12"/>
  <c r="M57" i="12" s="1"/>
  <c r="N168" i="16"/>
  <c r="K170" i="16"/>
  <c r="M169" i="16"/>
  <c r="J171" i="16"/>
  <c r="L168" i="16"/>
  <c r="N57" i="12" l="1"/>
  <c r="L58" i="12"/>
  <c r="M58" i="12" s="1"/>
  <c r="K59" i="12"/>
  <c r="L169" i="16"/>
  <c r="M170" i="16"/>
  <c r="K171" i="16"/>
  <c r="N169" i="16"/>
  <c r="N58" i="12" l="1"/>
  <c r="L59" i="12"/>
  <c r="M59" i="12" s="1"/>
  <c r="N170" i="16"/>
  <c r="L170" i="16"/>
  <c r="M171" i="16"/>
  <c r="N59" i="12" l="1"/>
  <c r="T78" i="16"/>
  <c r="L171" i="16"/>
  <c r="N171" i="16"/>
  <c r="R134" i="16" l="1"/>
  <c r="R135" i="16" s="1"/>
  <c r="R136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C100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「市町村別」シートで地域・市町村名を選択すると各地域に対応する番号（下の番号）が自動で入力される。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<sst xmlns="http://schemas.openxmlformats.org/spreadsheetml/2006/main" count="1806" uniqueCount="296">
  <si>
    <t>県    計</t>
  </si>
  <si>
    <t>01</t>
  </si>
  <si>
    <t>那 覇 市</t>
  </si>
  <si>
    <t>02</t>
  </si>
  <si>
    <t>宜野湾市</t>
  </si>
  <si>
    <t>03</t>
  </si>
  <si>
    <t>石 垣 市</t>
  </si>
  <si>
    <t>04</t>
  </si>
  <si>
    <t>浦 添 市</t>
  </si>
  <si>
    <t>05</t>
  </si>
  <si>
    <t>名 護 市</t>
  </si>
  <si>
    <t>06</t>
  </si>
  <si>
    <t>糸 満 市</t>
  </si>
  <si>
    <t>07</t>
  </si>
  <si>
    <t>沖 縄 市</t>
  </si>
  <si>
    <t>08</t>
  </si>
  <si>
    <t>09</t>
  </si>
  <si>
    <t>国 頭 村</t>
  </si>
  <si>
    <t>大宜味村</t>
  </si>
  <si>
    <t>東    村</t>
  </si>
  <si>
    <t>今帰仁村</t>
  </si>
  <si>
    <t>本 部 町</t>
  </si>
  <si>
    <t>恩 納 村</t>
  </si>
  <si>
    <t>宜野座村</t>
  </si>
  <si>
    <t>金 武 町</t>
  </si>
  <si>
    <t>伊 江 村</t>
  </si>
  <si>
    <t>読 谷 村</t>
  </si>
  <si>
    <t>嘉手納町</t>
  </si>
  <si>
    <t>北 谷 町</t>
  </si>
  <si>
    <t>北中城村</t>
  </si>
  <si>
    <t>中 城 村</t>
  </si>
  <si>
    <t>西 原 町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</si>
  <si>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</si>
  <si>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</si>
  <si>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</si>
  <si>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</si>
  <si>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</si>
  <si>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</si>
  <si>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</si>
  <si>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</si>
  <si>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</si>
  <si>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</si>
  <si>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多良間村</t>
  </si>
  <si>
    <t>竹 富 町</t>
  </si>
  <si>
    <t>与那国町</t>
  </si>
  <si>
    <t>豊見城市</t>
    <rPh sb="0" eb="4">
      <t>トミグスクシ</t>
    </rPh>
    <phoneticPr fontId="4"/>
  </si>
  <si>
    <t>うるま市</t>
    <rPh sb="3" eb="4">
      <t>シ</t>
    </rPh>
    <phoneticPr fontId="4"/>
  </si>
  <si>
    <t>宮古島市</t>
    <rPh sb="0" eb="3">
      <t>ミヤコジマ</t>
    </rPh>
    <rPh sb="3" eb="4">
      <t>シ</t>
    </rPh>
    <phoneticPr fontId="4"/>
  </si>
  <si>
    <t>南 城 市</t>
    <rPh sb="0" eb="1">
      <t>ミナミ</t>
    </rPh>
    <rPh sb="2" eb="3">
      <t>シロ</t>
    </rPh>
    <rPh sb="4" eb="5">
      <t>シ</t>
    </rPh>
    <phoneticPr fontId="4"/>
  </si>
  <si>
    <t>久米島町</t>
    <rPh sb="0" eb="2">
      <t>クメ</t>
    </rPh>
    <rPh sb="2" eb="3">
      <t>ジマ</t>
    </rPh>
    <rPh sb="3" eb="4">
      <t>チョウ</t>
    </rPh>
    <phoneticPr fontId="4"/>
  </si>
  <si>
    <t>八重瀬町</t>
    <rPh sb="0" eb="2">
      <t>ヤエ</t>
    </rPh>
    <rPh sb="2" eb="3">
      <t>セ</t>
    </rPh>
    <rPh sb="3" eb="4">
      <t>チョウ</t>
    </rPh>
    <phoneticPr fontId="4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</si>
  <si>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</si>
  <si>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</si>
  <si>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</si>
  <si>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鉱業</t>
    <rPh sb="0" eb="2">
      <t>コウギョウ</t>
    </rPh>
    <phoneticPr fontId="3"/>
  </si>
  <si>
    <t>製造業</t>
    <rPh sb="0" eb="3">
      <t>セイゾウギョウ</t>
    </rPh>
    <phoneticPr fontId="3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</si>
  <si>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5">
      <t>ショリギョウ</t>
    </rPh>
    <phoneticPr fontId="3"/>
  </si>
  <si>
    <t>建設業</t>
    <rPh sb="0" eb="3">
      <t>ケンセツギョウ</t>
    </rPh>
    <phoneticPr fontId="3"/>
  </si>
  <si>
    <t>卸売・小売業</t>
    <rPh sb="0" eb="2">
      <t>オロシウリ</t>
    </rPh>
    <rPh sb="3" eb="6">
      <t>コウリギョウ</t>
    </rPh>
    <phoneticPr fontId="3"/>
  </si>
  <si>
    <t>運輸・郵便業</t>
    <rPh sb="0" eb="2">
      <t>ウンユ</t>
    </rPh>
    <rPh sb="3" eb="5">
      <t>ユウビン</t>
    </rPh>
    <rPh sb="5" eb="6">
      <t>ギョウ</t>
    </rPh>
    <phoneticPr fontId="3"/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</si>
  <si>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</si>
  <si>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</si>
  <si>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金融・保険業</t>
    <rPh sb="0" eb="2">
      <t>キンユウ</t>
    </rPh>
    <rPh sb="3" eb="6">
      <t>ホケンギョウ</t>
    </rPh>
    <phoneticPr fontId="3"/>
  </si>
  <si>
    <t>不動産業</t>
    <rPh sb="0" eb="4">
      <t>フドウサンギョウ</t>
    </rPh>
    <phoneticPr fontId="3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</si>
  <si>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3"/>
  </si>
  <si>
    <t>公務</t>
    <rPh sb="0" eb="2">
      <t>コウム</t>
    </rPh>
    <phoneticPr fontId="3"/>
  </si>
  <si>
    <t>教育</t>
    <rPh sb="0" eb="2">
      <t>キョウイク</t>
    </rPh>
    <phoneticPr fontId="3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</si>
  <si>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"/>
  </si>
  <si>
    <t>その他のサービス</t>
    <rPh sb="2" eb="3">
      <t>タ</t>
    </rPh>
    <phoneticPr fontId="3"/>
  </si>
  <si>
    <t>輸入品に課される税・関税等</t>
    <rPh sb="0" eb="3">
      <t>ユニュウヒン</t>
    </rPh>
    <rPh sb="4" eb="5">
      <t>カ</t>
    </rPh>
    <rPh sb="8" eb="9">
      <t>ゼイ</t>
    </rPh>
    <rPh sb="10" eb="12">
      <t>カンゼイ</t>
    </rPh>
    <rPh sb="12" eb="13">
      <t>トウ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</si>
  <si>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</si>
  <si>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</si>
  <si>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第１次産業</t>
    <rPh sb="0" eb="1">
      <t>ダイ</t>
    </rPh>
    <rPh sb="2" eb="3">
      <t>ツギ</t>
    </rPh>
    <rPh sb="3" eb="5">
      <t>サンギョウ</t>
    </rPh>
    <phoneticPr fontId="3"/>
  </si>
  <si>
    <t>第２次産業</t>
    <rPh sb="0" eb="1">
      <t>ダイ</t>
    </rPh>
    <rPh sb="2" eb="3">
      <t>ツギ</t>
    </rPh>
    <rPh sb="3" eb="5">
      <t>サンギョウ</t>
    </rPh>
    <phoneticPr fontId="3"/>
  </si>
  <si>
    <t>第３次産業</t>
    <rPh sb="0" eb="1">
      <t>ダイ</t>
    </rPh>
    <rPh sb="2" eb="3">
      <t>ツギ</t>
    </rPh>
    <rPh sb="3" eb="5">
      <t>サンギョウ</t>
    </rPh>
    <phoneticPr fontId="3"/>
  </si>
  <si>
    <t>経済活動別市町村内総生産</t>
    <rPh sb="0" eb="2">
      <t>ケイザイ</t>
    </rPh>
    <rPh sb="2" eb="4">
      <t>カツドウ</t>
    </rPh>
    <rPh sb="4" eb="5">
      <t>ベツ</t>
    </rPh>
    <rPh sb="5" eb="8">
      <t>シチョウソン</t>
    </rPh>
    <rPh sb="8" eb="9">
      <t>ナイ</t>
    </rPh>
    <rPh sb="9" eb="12">
      <t>ソウセイサン</t>
    </rPh>
    <phoneticPr fontId="4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</si>
  <si>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</si>
  <si>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</si>
  <si>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</si>
  <si>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</si>
  <si>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</si>
  <si>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</si>
  <si>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</si>
  <si>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</si>
  <si>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</si>
  <si>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</si>
  <si>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</si>
  <si>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</si>
  <si>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</si>
  <si>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</si>
  <si>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</si>
  <si>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</si>
  <si>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Ｓ</t>
    <phoneticPr fontId="3"/>
  </si>
  <si>
    <t>Ｔ</t>
    <phoneticPr fontId="3"/>
  </si>
  <si>
    <t>初期値→</t>
    <rPh sb="0" eb="3">
      <t>ショキチ</t>
    </rPh>
    <phoneticPr fontId="3"/>
  </si>
  <si>
    <t>経済活動別シート：行コード</t>
    <rPh sb="0" eb="2">
      <t>ケイザイ</t>
    </rPh>
    <rPh sb="2" eb="4">
      <t>カツドウ</t>
    </rPh>
    <rPh sb="4" eb="5">
      <t>ベツ</t>
    </rPh>
    <rPh sb="9" eb="10">
      <t>ギョウ</t>
    </rPh>
    <phoneticPr fontId="3"/>
  </si>
  <si>
    <t>経済活動別シート：列コード</t>
    <rPh sb="0" eb="2">
      <t>ケイザイ</t>
    </rPh>
    <rPh sb="2" eb="4">
      <t>カツドウ</t>
    </rPh>
    <rPh sb="4" eb="5">
      <t>ベツ</t>
    </rPh>
    <rPh sb="9" eb="10">
      <t>レツ</t>
    </rPh>
    <phoneticPr fontId="3"/>
  </si>
  <si>
    <t>参照シート名</t>
    <rPh sb="0" eb="2">
      <t>サンショウ</t>
    </rPh>
    <rPh sb="5" eb="6">
      <t>メイ</t>
    </rPh>
    <phoneticPr fontId="3"/>
  </si>
  <si>
    <t>実数（百万円）</t>
    <rPh sb="0" eb="2">
      <t>ジッスウ</t>
    </rPh>
    <rPh sb="3" eb="4">
      <t>ヒャク</t>
    </rPh>
    <rPh sb="4" eb="6">
      <t>マンエン</t>
    </rPh>
    <phoneticPr fontId="3"/>
  </si>
  <si>
    <t>小計（=1+2+3）</t>
    <rPh sb="0" eb="2">
      <t>ショウケイ</t>
    </rPh>
    <phoneticPr fontId="3"/>
  </si>
  <si>
    <t>輸入品に課される税・関税　等</t>
    <rPh sb="0" eb="3">
      <t>ユニュウヒン</t>
    </rPh>
    <rPh sb="4" eb="5">
      <t>カ</t>
    </rPh>
    <rPh sb="8" eb="9">
      <t>ゼイ</t>
    </rPh>
    <rPh sb="10" eb="12">
      <t>カンゼイ</t>
    </rPh>
    <rPh sb="13" eb="14">
      <t>トウ</t>
    </rPh>
    <phoneticPr fontId="3"/>
  </si>
  <si>
    <t>市町村内総生産（=5+6）</t>
    <rPh sb="0" eb="3">
      <t>シチョウソン</t>
    </rPh>
    <rPh sb="3" eb="4">
      <t>ナイ</t>
    </rPh>
    <rPh sb="4" eb="7">
      <t>ソウセイサン</t>
    </rPh>
    <phoneticPr fontId="3"/>
  </si>
  <si>
    <t>増加率（％）</t>
    <rPh sb="0" eb="3">
      <t>ゾウカリツ</t>
    </rPh>
    <phoneticPr fontId="3"/>
  </si>
  <si>
    <t>構成比（％）</t>
    <rPh sb="0" eb="3">
      <t>コウセイヒ</t>
    </rPh>
    <phoneticPr fontId="3"/>
  </si>
  <si>
    <t>増加寄与度（％）</t>
    <rPh sb="0" eb="2">
      <t>ゾウカ</t>
    </rPh>
    <rPh sb="2" eb="5">
      <t>キヨド</t>
    </rPh>
    <phoneticPr fontId="3"/>
  </si>
  <si>
    <t>Ｖ</t>
    <phoneticPr fontId="3"/>
  </si>
  <si>
    <t>★構成比データ</t>
    <rPh sb="1" eb="4">
      <t>コウセイヒ</t>
    </rPh>
    <phoneticPr fontId="3"/>
  </si>
  <si>
    <t>電気・ガス・水道</t>
    <rPh sb="0" eb="2">
      <t>デンキ</t>
    </rPh>
    <rPh sb="6" eb="8">
      <t>スイドウ</t>
    </rPh>
    <phoneticPr fontId="3"/>
  </si>
  <si>
    <t>・廃棄物処理業</t>
    <rPh sb="1" eb="4">
      <t>ハイキブツ</t>
    </rPh>
    <rPh sb="4" eb="7">
      <t>ショリギョウ</t>
    </rPh>
    <phoneticPr fontId="3"/>
  </si>
  <si>
    <t>サービス業</t>
    <rPh sb="4" eb="5">
      <t>ギョウ</t>
    </rPh>
    <phoneticPr fontId="3"/>
  </si>
  <si>
    <t>宿泊・飲食</t>
    <rPh sb="0" eb="2">
      <t>シュクハク</t>
    </rPh>
    <rPh sb="3" eb="5">
      <t>インショク</t>
    </rPh>
    <phoneticPr fontId="3"/>
  </si>
  <si>
    <t>専門・科学技術、</t>
    <rPh sb="0" eb="2">
      <t>センモン</t>
    </rPh>
    <rPh sb="3" eb="5">
      <t>カガク</t>
    </rPh>
    <rPh sb="5" eb="7">
      <t>ギジュツ</t>
    </rPh>
    <phoneticPr fontId="3"/>
  </si>
  <si>
    <t>業務支援サービス業</t>
  </si>
  <si>
    <t>保健衛生・</t>
    <rPh sb="0" eb="2">
      <t>ホケン</t>
    </rPh>
    <rPh sb="2" eb="4">
      <t>エイセイ</t>
    </rPh>
    <phoneticPr fontId="3"/>
  </si>
  <si>
    <t>社会事業</t>
  </si>
  <si>
    <t>その他の</t>
    <rPh sb="2" eb="3">
      <t>タ</t>
    </rPh>
    <phoneticPr fontId="3"/>
  </si>
  <si>
    <t>サービス</t>
    <phoneticPr fontId="3"/>
  </si>
  <si>
    <t>　</t>
    <phoneticPr fontId="3"/>
  </si>
  <si>
    <t>★経済成長率データ（対前年度比）</t>
    <rPh sb="1" eb="3">
      <t>ケイザイ</t>
    </rPh>
    <rPh sb="3" eb="6">
      <t>セイチョウリツ</t>
    </rPh>
    <rPh sb="10" eb="11">
      <t>タイ</t>
    </rPh>
    <rPh sb="11" eb="14">
      <t>ゼンネンド</t>
    </rPh>
    <rPh sb="14" eb="15">
      <t>ヒ</t>
    </rPh>
    <phoneticPr fontId="3"/>
  </si>
  <si>
    <t>市町村内総生産</t>
    <rPh sb="0" eb="3">
      <t>シチョウソン</t>
    </rPh>
    <rPh sb="3" eb="4">
      <t>ナイ</t>
    </rPh>
    <rPh sb="4" eb="7">
      <t>ソウセイサン</t>
    </rPh>
    <phoneticPr fontId="3"/>
  </si>
  <si>
    <t>電気・ガス・水道・廃棄物</t>
    <rPh sb="0" eb="2">
      <t>デンキ</t>
    </rPh>
    <rPh sb="6" eb="8">
      <t>スイドウ</t>
    </rPh>
    <rPh sb="9" eb="12">
      <t>ハイキブツ</t>
    </rPh>
    <phoneticPr fontId="3"/>
  </si>
  <si>
    <t>☆特化計数データ</t>
    <rPh sb="1" eb="3">
      <t>トッカ</t>
    </rPh>
    <rPh sb="3" eb="5">
      <t>ケイスウ</t>
    </rPh>
    <phoneticPr fontId="3"/>
  </si>
  <si>
    <t>専門・科学技術、
業務支援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phoneticPr fontId="3"/>
  </si>
  <si>
    <t>電気・ガス・
水道・廃棄物</t>
    <rPh sb="0" eb="2">
      <t>デンキ</t>
    </rPh>
    <rPh sb="7" eb="9">
      <t>スイドウ</t>
    </rPh>
    <rPh sb="10" eb="13">
      <t>ハイキブツ</t>
    </rPh>
    <phoneticPr fontId="3"/>
  </si>
  <si>
    <t>宿泊・飲食
サービス業</t>
    <rPh sb="0" eb="2">
      <t>シュクハク</t>
    </rPh>
    <rPh sb="3" eb="5">
      <t>インショク</t>
    </rPh>
    <rPh sb="10" eb="11">
      <t>ギョウ</t>
    </rPh>
    <phoneticPr fontId="3"/>
  </si>
  <si>
    <t>その他の
サービス</t>
    <rPh sb="2" eb="3">
      <t>タ</t>
    </rPh>
    <phoneticPr fontId="3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</si>
  <si>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3"/>
  </si>
  <si>
    <t>シートの「開始年＋１」（H24）における開始行（県計）の行番号を入力</t>
    <rPh sb="5" eb="7">
      <t>カイシ</t>
    </rPh>
    <rPh sb="7" eb="8">
      <t>ネン</t>
    </rPh>
    <rPh sb="20" eb="23">
      <t>カイシギョウ</t>
    </rPh>
    <rPh sb="24" eb="26">
      <t>ケンケイ</t>
    </rPh>
    <rPh sb="28" eb="31">
      <t>ギョウバンゴウ</t>
    </rPh>
    <rPh sb="32" eb="34">
      <t>ニュウリョク</t>
    </rPh>
    <phoneticPr fontId="3"/>
  </si>
  <si>
    <t>シートの「開始年」（H23）における開始行（県計）の行番号を入力</t>
    <rPh sb="5" eb="7">
      <t>カイシ</t>
    </rPh>
    <rPh sb="7" eb="8">
      <t>ネン</t>
    </rPh>
    <rPh sb="18" eb="21">
      <t>カイシギョウ</t>
    </rPh>
    <rPh sb="22" eb="24">
      <t>ケンケイ</t>
    </rPh>
    <rPh sb="26" eb="29">
      <t>ギョウバンゴウ</t>
    </rPh>
    <rPh sb="30" eb="32">
      <t>ニュウリョク</t>
    </rPh>
    <phoneticPr fontId="3"/>
  </si>
  <si>
    <t>経済活動別</t>
    <rPh sb="0" eb="2">
      <t>ケイザイ</t>
    </rPh>
    <rPh sb="2" eb="4">
      <t>カツドウ</t>
    </rPh>
    <rPh sb="4" eb="5">
      <t>ベツ</t>
    </rPh>
    <phoneticPr fontId="3"/>
  </si>
  <si>
    <t>Ｕ</t>
    <phoneticPr fontId="3"/>
  </si>
  <si>
    <t>Ｗ</t>
    <phoneticPr fontId="3"/>
  </si>
  <si>
    <t>Ｘ</t>
    <phoneticPr fontId="3"/>
  </si>
  <si>
    <t>Ｙ</t>
    <phoneticPr fontId="3"/>
  </si>
  <si>
    <t>Ｚ</t>
    <phoneticPr fontId="3"/>
  </si>
  <si>
    <t>コード</t>
    <phoneticPr fontId="3"/>
  </si>
  <si>
    <t>市町村内総生産（合計）</t>
    <rPh sb="0" eb="3">
      <t>シチョウソン</t>
    </rPh>
    <rPh sb="3" eb="4">
      <t>ナイ</t>
    </rPh>
    <rPh sb="4" eb="7">
      <t>ソウセイサン</t>
    </rPh>
    <rPh sb="8" eb="10">
      <t>ゴウケイ</t>
    </rPh>
    <phoneticPr fontId="3"/>
  </si>
  <si>
    <t>経済活動別総生産（小計）</t>
    <rPh sb="0" eb="2">
      <t>ケイザイ</t>
    </rPh>
    <rPh sb="2" eb="4">
      <t>カツドウ</t>
    </rPh>
    <rPh sb="4" eb="5">
      <t>ベツ</t>
    </rPh>
    <rPh sb="5" eb="8">
      <t>ソウセイサン</t>
    </rPh>
    <rPh sb="9" eb="11">
      <t>ショウケイ</t>
    </rPh>
    <phoneticPr fontId="3"/>
  </si>
  <si>
    <t>沖 縄 県</t>
    <rPh sb="0" eb="1">
      <t>オキ</t>
    </rPh>
    <rPh sb="2" eb="3">
      <t>ナワ</t>
    </rPh>
    <rPh sb="4" eb="5">
      <t>ケン</t>
    </rPh>
    <phoneticPr fontId="3"/>
  </si>
  <si>
    <t>北　　部</t>
    <rPh sb="0" eb="1">
      <t>キタ</t>
    </rPh>
    <rPh sb="3" eb="4">
      <t>ブ</t>
    </rPh>
    <phoneticPr fontId="3"/>
  </si>
  <si>
    <t>中　　部</t>
    <rPh sb="0" eb="1">
      <t>ナカ</t>
    </rPh>
    <rPh sb="3" eb="4">
      <t>ブ</t>
    </rPh>
    <phoneticPr fontId="3"/>
  </si>
  <si>
    <t>南　　部</t>
    <rPh sb="0" eb="1">
      <t>ミナミ</t>
    </rPh>
    <rPh sb="3" eb="4">
      <t>ブ</t>
    </rPh>
    <phoneticPr fontId="3"/>
  </si>
  <si>
    <t>那　　覇</t>
    <rPh sb="0" eb="1">
      <t>ナ</t>
    </rPh>
    <rPh sb="3" eb="4">
      <t>ハ</t>
    </rPh>
    <phoneticPr fontId="3"/>
  </si>
  <si>
    <t>宮　　古</t>
    <rPh sb="0" eb="1">
      <t>ミヤ</t>
    </rPh>
    <rPh sb="3" eb="4">
      <t>イニシエ</t>
    </rPh>
    <phoneticPr fontId="3"/>
  </si>
  <si>
    <t>八 重 山</t>
    <rPh sb="0" eb="1">
      <t>ハチ</t>
    </rPh>
    <rPh sb="2" eb="3">
      <t>ジュウ</t>
    </rPh>
    <rPh sb="4" eb="5">
      <t>ヤマ</t>
    </rPh>
    <phoneticPr fontId="3"/>
  </si>
  <si>
    <t>加算値</t>
    <rPh sb="0" eb="2">
      <t>カサン</t>
    </rPh>
    <rPh sb="2" eb="3">
      <t>チ</t>
    </rPh>
    <phoneticPr fontId="3"/>
  </si>
  <si>
    <t>(1)</t>
    <phoneticPr fontId="3"/>
  </si>
  <si>
    <t>(2)</t>
  </si>
  <si>
    <t>(3)</t>
  </si>
  <si>
    <t>(4)</t>
  </si>
  <si>
    <t>(5)</t>
  </si>
  <si>
    <t>(6)</t>
  </si>
  <si>
    <t>北　　部</t>
    <rPh sb="0" eb="1">
      <t>キタ</t>
    </rPh>
    <rPh sb="3" eb="4">
      <t>ブ</t>
    </rPh>
    <phoneticPr fontId="3"/>
  </si>
  <si>
    <t>中　　部</t>
    <rPh sb="0" eb="1">
      <t>ナカ</t>
    </rPh>
    <rPh sb="3" eb="4">
      <t>ブ</t>
    </rPh>
    <phoneticPr fontId="3"/>
  </si>
  <si>
    <t>南　　部</t>
    <rPh sb="0" eb="1">
      <t>ミナミ</t>
    </rPh>
    <rPh sb="3" eb="4">
      <t>ブ</t>
    </rPh>
    <phoneticPr fontId="3"/>
  </si>
  <si>
    <t>那　　覇</t>
    <rPh sb="0" eb="1">
      <t>ナ</t>
    </rPh>
    <rPh sb="3" eb="4">
      <t>ハ</t>
    </rPh>
    <phoneticPr fontId="3"/>
  </si>
  <si>
    <t>宮　　古</t>
    <rPh sb="0" eb="1">
      <t>ミヤ</t>
    </rPh>
    <rPh sb="3" eb="4">
      <t>イニシエ</t>
    </rPh>
    <phoneticPr fontId="3"/>
  </si>
  <si>
    <t>八 重 山</t>
    <rPh sb="0" eb="1">
      <t>ハチ</t>
    </rPh>
    <rPh sb="2" eb="3">
      <t>ジュウ</t>
    </rPh>
    <rPh sb="4" eb="5">
      <t>ヤマ</t>
    </rPh>
    <phoneticPr fontId="3"/>
  </si>
  <si>
    <t>(1)</t>
    <phoneticPr fontId="3"/>
  </si>
  <si>
    <t>01</t>
    <phoneticPr fontId="3"/>
  </si>
  <si>
    <t>00</t>
  </si>
  <si>
    <t>選択地域の開始番号</t>
    <rPh sb="0" eb="2">
      <t>センタク</t>
    </rPh>
    <rPh sb="2" eb="4">
      <t>チイキ</t>
    </rPh>
    <rPh sb="5" eb="7">
      <t>カイシ</t>
    </rPh>
    <rPh sb="7" eb="9">
      <t>バンゴウ</t>
    </rPh>
    <phoneticPr fontId="3"/>
  </si>
  <si>
    <t>○ コード表　No.1</t>
    <rPh sb="5" eb="6">
      <t>ヒョウ</t>
    </rPh>
    <phoneticPr fontId="3"/>
  </si>
  <si>
    <t>○ コード表　No.2</t>
    <rPh sb="5" eb="6">
      <t>ヒョウ</t>
    </rPh>
    <phoneticPr fontId="3"/>
  </si>
  <si>
    <t>○ コード表　No.3</t>
    <rPh sb="5" eb="6">
      <t>ヒョウ</t>
    </rPh>
    <phoneticPr fontId="3"/>
  </si>
  <si>
    <t>開始番号</t>
    <rPh sb="0" eb="2">
      <t>カイシ</t>
    </rPh>
    <rPh sb="2" eb="4">
      <t>バンゴウ</t>
    </rPh>
    <phoneticPr fontId="3"/>
  </si>
  <si>
    <t>市町村・地域名</t>
    <rPh sb="0" eb="3">
      <t>シチョウソン</t>
    </rPh>
    <rPh sb="4" eb="7">
      <t>チイキメイ</t>
    </rPh>
    <phoneticPr fontId="3"/>
  </si>
  <si>
    <t>参照先の行番号</t>
    <rPh sb="0" eb="2">
      <t>サンショウ</t>
    </rPh>
    <rPh sb="2" eb="3">
      <t>サキ</t>
    </rPh>
    <rPh sb="4" eb="7">
      <t>ギョウバンゴウ</t>
    </rPh>
    <phoneticPr fontId="3"/>
  </si>
  <si>
    <t>　←　コード：経各項目の番号（連番）を入力（任意の値）</t>
    <rPh sb="7" eb="8">
      <t>キョウ</t>
    </rPh>
    <rPh sb="8" eb="11">
      <t>カクコウモク</t>
    </rPh>
    <rPh sb="12" eb="14">
      <t>バンゴウ</t>
    </rPh>
    <rPh sb="15" eb="17">
      <t>レンバン</t>
    </rPh>
    <rPh sb="19" eb="21">
      <t>ニュウリョク</t>
    </rPh>
    <rPh sb="22" eb="24">
      <t>ニンイ</t>
    </rPh>
    <rPh sb="25" eb="26">
      <t>アタイ</t>
    </rPh>
    <phoneticPr fontId="3"/>
  </si>
  <si>
    <t>列セル</t>
    <rPh sb="0" eb="1">
      <t>レツ</t>
    </rPh>
    <phoneticPr fontId="3"/>
  </si>
  <si>
    <t>選択産業の列セル</t>
    <rPh sb="0" eb="2">
      <t>センタク</t>
    </rPh>
    <rPh sb="2" eb="4">
      <t>サンギョウ</t>
    </rPh>
    <rPh sb="5" eb="6">
      <t>レツ</t>
    </rPh>
    <phoneticPr fontId="3"/>
  </si>
  <si>
    <t>　←　列セル：「経済活動別」シートにおける当該経済活動の列番号を入力〔基本は固定〕</t>
    <rPh sb="3" eb="4">
      <t>レツ</t>
    </rPh>
    <rPh sb="8" eb="10">
      <t>ケイザイ</t>
    </rPh>
    <rPh sb="10" eb="12">
      <t>カツドウ</t>
    </rPh>
    <rPh sb="12" eb="13">
      <t>ベツ</t>
    </rPh>
    <rPh sb="21" eb="23">
      <t>トウガイ</t>
    </rPh>
    <rPh sb="23" eb="25">
      <t>ケイザイ</t>
    </rPh>
    <rPh sb="25" eb="27">
      <t>カツドウ</t>
    </rPh>
    <rPh sb="28" eb="31">
      <t>レツバンゴウ</t>
    </rPh>
    <rPh sb="35" eb="37">
      <t>キホン</t>
    </rPh>
    <rPh sb="38" eb="40">
      <t>コテイ</t>
    </rPh>
    <phoneticPr fontId="3"/>
  </si>
  <si>
    <t>年度</t>
    <rPh sb="0" eb="2">
      <t>ネンド</t>
    </rPh>
    <phoneticPr fontId="3"/>
  </si>
  <si>
    <t>コード</t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</si>
  <si>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</si>
  <si>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</si>
  <si>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</si>
  <si>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</si>
  <si>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</si>
  <si>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</si>
  <si>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</si>
  <si>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</si>
  <si>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</si>
  <si>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</si>
  <si>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</si>
  <si>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</si>
  <si>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</si>
  <si>
    <t>令和６年度</t>
    <rPh sb="0" eb="2">
      <t>レイワ</t>
    </rPh>
    <rPh sb="3" eb="5">
      <t>ネンド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</si>
  <si>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</si>
  <si>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</si>
  <si>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令和９年度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</si>
  <si>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</si>
  <si>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</si>
  <si>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</si>
  <si>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令和13年度</t>
    <rPh sb="0" eb="2">
      <t>レイワ</t>
    </rPh>
    <rPh sb="4" eb="6">
      <t>ネンド</t>
    </rPh>
    <phoneticPr fontId="3"/>
  </si>
  <si>
    <t>令和14年度</t>
    <rPh sb="0" eb="2">
      <t>レイワ</t>
    </rPh>
    <rPh sb="4" eb="6">
      <t>ネンド</t>
    </rPh>
    <phoneticPr fontId="3"/>
  </si>
  <si>
    <t>令和15年度</t>
    <rPh sb="0" eb="2">
      <t>レイワ</t>
    </rPh>
    <rPh sb="4" eb="6">
      <t>ネンド</t>
    </rPh>
    <phoneticPr fontId="3"/>
  </si>
  <si>
    <t>H23</t>
    <phoneticPr fontId="3"/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</si>
  <si>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</si>
  <si>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</si>
  <si>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</si>
  <si>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</si>
  <si>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</si>
  <si>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</si>
  <si>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</si>
  <si>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</si>
  <si>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表記</t>
    <rPh sb="0" eb="2">
      <t>ヒョウキ</t>
    </rPh>
    <phoneticPr fontId="3"/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</si>
  <si>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</si>
  <si>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</si>
  <si>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</si>
  <si>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</si>
  <si>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</si>
  <si>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</si>
  <si>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</si>
  <si>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</si>
  <si>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</si>
  <si>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</si>
  <si>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</si>
  <si>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</si>
  <si>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</si>
  <si>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</si>
  <si>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地域コード</t>
    <rPh sb="0" eb="2">
      <t>チイキ</t>
    </rPh>
    <phoneticPr fontId="3"/>
  </si>
  <si>
    <t>年度コード</t>
    <rPh sb="0" eb="2">
      <t>ネンド</t>
    </rPh>
    <phoneticPr fontId="3"/>
  </si>
  <si>
    <t>選択年度</t>
    <rPh sb="0" eb="2">
      <t>センタク</t>
    </rPh>
    <rPh sb="2" eb="4">
      <t>ネンド</t>
    </rPh>
    <phoneticPr fontId="3"/>
  </si>
  <si>
    <t>（t-1）年度</t>
    <rPh sb="5" eb="7">
      <t>ネンド</t>
    </rPh>
    <phoneticPr fontId="3"/>
  </si>
  <si>
    <t>（t-2）年度</t>
    <rPh sb="5" eb="7">
      <t>ネンド</t>
    </rPh>
    <phoneticPr fontId="3"/>
  </si>
  <si>
    <t>その他のサービス</t>
  </si>
  <si>
    <t>保健衛生・社会事業</t>
  </si>
  <si>
    <t>教育</t>
  </si>
  <si>
    <t>公務</t>
  </si>
  <si>
    <t>専門・科学技術、業務支援</t>
  </si>
  <si>
    <t>不動産業</t>
  </si>
  <si>
    <t>金融・保険業</t>
  </si>
  <si>
    <t>情報通信業</t>
  </si>
  <si>
    <t>宿泊・飲食サービス業</t>
  </si>
  <si>
    <t>運輸・郵便業</t>
  </si>
  <si>
    <t>卸売・小売業</t>
  </si>
  <si>
    <t>電気・ガス・水道・廃棄物</t>
  </si>
  <si>
    <t>建設業</t>
  </si>
  <si>
    <t>製造業</t>
  </si>
  <si>
    <t>鉱業</t>
  </si>
  <si>
    <t>水産業</t>
  </si>
  <si>
    <t>林業</t>
  </si>
  <si>
    <t>農業</t>
  </si>
  <si>
    <t>沖 縄 県</t>
    <phoneticPr fontId="3"/>
  </si>
  <si>
    <t xml:space="preserve"> ← 基本は固定</t>
    <rPh sb="3" eb="5">
      <t>キホン</t>
    </rPh>
    <rPh sb="6" eb="8">
      <t>コテイ</t>
    </rPh>
    <phoneticPr fontId="3"/>
  </si>
  <si>
    <t>〔比較用の参考値〕</t>
    <rPh sb="1" eb="3">
      <t>ヒカク</t>
    </rPh>
    <rPh sb="3" eb="4">
      <t>ヨウ</t>
    </rPh>
    <rPh sb="5" eb="7">
      <t>サンコウ</t>
    </rPh>
    <rPh sb="7" eb="8">
      <t>アタイ</t>
    </rPh>
    <phoneticPr fontId="3"/>
  </si>
  <si>
    <t>★県計に対する割合（シェア）データ（参考値の構成比）</t>
    <rPh sb="1" eb="3">
      <t>ケンケイ</t>
    </rPh>
    <rPh sb="4" eb="5">
      <t>タイ</t>
    </rPh>
    <rPh sb="7" eb="9">
      <t>ワリアイ</t>
    </rPh>
    <rPh sb="18" eb="21">
      <t>サンコウチ</t>
    </rPh>
    <rPh sb="22" eb="25">
      <t>コウセイヒ</t>
    </rPh>
    <phoneticPr fontId="3"/>
  </si>
  <si>
    <t>分析地域の総生産</t>
    <rPh sb="0" eb="2">
      <t>ブンセキ</t>
    </rPh>
    <rPh sb="2" eb="4">
      <t>チイキ</t>
    </rPh>
    <rPh sb="5" eb="8">
      <t>ソウセイサン</t>
    </rPh>
    <phoneticPr fontId="3"/>
  </si>
  <si>
    <t>県内総生産</t>
    <rPh sb="0" eb="2">
      <t>ケンナイ</t>
    </rPh>
    <rPh sb="2" eb="5">
      <t>ソウセイサン</t>
    </rPh>
    <phoneticPr fontId="3"/>
  </si>
  <si>
    <t>他</t>
    <rPh sb="0" eb="1">
      <t>ホカ</t>
    </rPh>
    <phoneticPr fontId="3"/>
  </si>
  <si>
    <t>○ 上位10位/降順並び替え</t>
    <rPh sb="2" eb="4">
      <t>ジョウイ</t>
    </rPh>
    <rPh sb="6" eb="7">
      <t>イ</t>
    </rPh>
    <rPh sb="8" eb="10">
      <t>コウジュン</t>
    </rPh>
    <rPh sb="10" eb="11">
      <t>ナラ</t>
    </rPh>
    <rPh sb="12" eb="13">
      <t>カ</t>
    </rPh>
    <phoneticPr fontId="3"/>
  </si>
  <si>
    <t>★特化係数データ</t>
    <rPh sb="1" eb="3">
      <t>トッカ</t>
    </rPh>
    <rPh sb="3" eb="5">
      <t>ケイスウ</t>
    </rPh>
    <phoneticPr fontId="3"/>
  </si>
  <si>
    <t>【比較値】</t>
    <rPh sb="1" eb="4">
      <t>ヒカクチ</t>
    </rPh>
    <phoneticPr fontId="3"/>
  </si>
  <si>
    <t>【選択地域】</t>
    <rPh sb="1" eb="3">
      <t>センタク</t>
    </rPh>
    <rPh sb="3" eb="5">
      <t>チイキ</t>
    </rPh>
    <phoneticPr fontId="3"/>
  </si>
  <si>
    <t>特化係数</t>
    <rPh sb="0" eb="2">
      <t>トッカ</t>
    </rPh>
    <rPh sb="2" eb="4">
      <t>ケイスウ</t>
    </rPh>
    <phoneticPr fontId="3"/>
  </si>
  <si>
    <t>比較地係数</t>
    <rPh sb="0" eb="3">
      <t>ヒカクチ</t>
    </rPh>
    <rPh sb="3" eb="5">
      <t>ケイスウ</t>
    </rPh>
    <phoneticPr fontId="3"/>
  </si>
  <si>
    <t>専門・科学、業務支援</t>
    <rPh sb="0" eb="2">
      <t>センモン</t>
    </rPh>
    <rPh sb="3" eb="5">
      <t>カガク</t>
    </rPh>
    <rPh sb="6" eb="8">
      <t>ギョウム</t>
    </rPh>
    <rPh sb="8" eb="10">
      <t>シエン</t>
    </rPh>
    <phoneticPr fontId="3"/>
  </si>
  <si>
    <t>地域区分</t>
    <rPh sb="0" eb="2">
      <t>チイキ</t>
    </rPh>
    <rPh sb="2" eb="4">
      <t>クブン</t>
    </rPh>
    <phoneticPr fontId="3"/>
  </si>
  <si>
    <t>(1)</t>
    <phoneticPr fontId="3"/>
  </si>
  <si>
    <t>沖 縄 県</t>
  </si>
  <si>
    <t xml:space="preserve">vlookup計算用の列番号 → </t>
    <rPh sb="7" eb="9">
      <t>ケイサン</t>
    </rPh>
    <rPh sb="9" eb="10">
      <t>ヨウ</t>
    </rPh>
    <rPh sb="11" eb="12">
      <t>レツ</t>
    </rPh>
    <rPh sb="12" eb="14">
      <t>バンゴウ</t>
    </rPh>
    <phoneticPr fontId="3"/>
  </si>
  <si>
    <t xml:space="preserve"> ↓ vlookup計算用の列番号</t>
    <phoneticPr fontId="3"/>
  </si>
  <si>
    <t>○　県経済に占めるシェア</t>
    <rPh sb="2" eb="5">
      <t>ケンケイザイ</t>
    </rPh>
    <rPh sb="6" eb="7">
      <t>シ</t>
    </rPh>
    <phoneticPr fontId="3"/>
  </si>
  <si>
    <t>○　地域経済に占めるシェア</t>
    <rPh sb="2" eb="4">
      <t>チイキ</t>
    </rPh>
    <rPh sb="4" eb="6">
      <t>ケイザイ</t>
    </rPh>
    <rPh sb="7" eb="8">
      <t>シ</t>
    </rPh>
    <phoneticPr fontId="3"/>
  </si>
  <si>
    <t>その他</t>
    <rPh sb="2" eb="3">
      <t>タ</t>
    </rPh>
    <phoneticPr fontId="3"/>
  </si>
  <si>
    <t>地域比較用〔各地域の市町村内総生産〕</t>
    <rPh sb="0" eb="1">
      <t>チイキ</t>
    </rPh>
    <rPh sb="1" eb="3">
      <t>ヒカク</t>
    </rPh>
    <rPh sb="4" eb="5">
      <t>ヨウ</t>
    </rPh>
    <rPh sb="6" eb="7">
      <t>カク</t>
    </rPh>
    <rPh sb="7" eb="9">
      <t>チイキ</t>
    </rPh>
    <rPh sb="10" eb="13">
      <t>シチョウソン</t>
    </rPh>
    <rPh sb="13" eb="14">
      <t>ナイ</t>
    </rPh>
    <rPh sb="14" eb="17">
      <t>ソウセイサン</t>
    </rPh>
    <phoneticPr fontId="3"/>
  </si>
  <si>
    <t>経済活動別シート：行コード〔選択地域用〕</t>
    <rPh sb="0" eb="2">
      <t>ケイザイ</t>
    </rPh>
    <rPh sb="2" eb="4">
      <t>カツドウ</t>
    </rPh>
    <rPh sb="4" eb="5">
      <t>ベツ</t>
    </rPh>
    <rPh sb="9" eb="10">
      <t>ギョウ</t>
    </rPh>
    <rPh sb="14" eb="16">
      <t>センタク</t>
    </rPh>
    <rPh sb="16" eb="18">
      <t>チイキ</t>
    </rPh>
    <rPh sb="18" eb="19">
      <t>ヨウ</t>
    </rPh>
    <phoneticPr fontId="3"/>
  </si>
  <si>
    <t>経済活動別市町村内総生産（百万円）</t>
    <rPh sb="0" eb="2">
      <t>ケイザイ</t>
    </rPh>
    <rPh sb="2" eb="4">
      <t>カツドウ</t>
    </rPh>
    <rPh sb="4" eb="5">
      <t>ベツ</t>
    </rPh>
    <rPh sb="5" eb="8">
      <t>シチョウソン</t>
    </rPh>
    <rPh sb="8" eb="9">
      <t>ナイ</t>
    </rPh>
    <rPh sb="9" eb="12">
      <t>ソウセイサン</t>
    </rPh>
    <rPh sb="13" eb="14">
      <t>ヒャク</t>
    </rPh>
    <rPh sb="14" eb="16">
      <t>マンエン</t>
    </rPh>
    <phoneticPr fontId="4"/>
  </si>
  <si>
    <t>実数（百万円）</t>
    <rPh sb="0" eb="2">
      <t>ジッスウ</t>
    </rPh>
    <rPh sb="3" eb="4">
      <t>ヒャク</t>
    </rPh>
    <rPh sb="4" eb="6">
      <t>マンエン</t>
    </rPh>
    <phoneticPr fontId="4"/>
  </si>
  <si>
    <t>対前年度増加率（％）</t>
    <rPh sb="0" eb="1">
      <t>タイ</t>
    </rPh>
    <rPh sb="1" eb="4">
      <t>ゼンネンド</t>
    </rPh>
    <rPh sb="4" eb="6">
      <t>ゾウカ</t>
    </rPh>
    <rPh sb="6" eb="7">
      <t>リツ</t>
    </rPh>
    <phoneticPr fontId="4"/>
  </si>
  <si>
    <t>構成比（％）</t>
    <rPh sb="0" eb="3">
      <t>コウセイヒ</t>
    </rPh>
    <phoneticPr fontId="4"/>
  </si>
  <si>
    <t>増加寄与度（％）</t>
    <rPh sb="0" eb="2">
      <t>ゾウカ</t>
    </rPh>
    <rPh sb="2" eb="5">
      <t>キヨド</t>
    </rPh>
    <phoneticPr fontId="4"/>
  </si>
  <si>
    <t xml:space="preserve"> ←分析対象の年度を選択</t>
    <rPh sb="2" eb="4">
      <t>ブンセキ</t>
    </rPh>
    <rPh sb="4" eb="6">
      <t>タイショウ</t>
    </rPh>
    <rPh sb="7" eb="9">
      <t>ネンド</t>
    </rPh>
    <rPh sb="10" eb="12">
      <t>センタク</t>
    </rPh>
    <phoneticPr fontId="3"/>
  </si>
  <si>
    <t xml:space="preserve"> ←市町村・地域を選択</t>
    <rPh sb="2" eb="5">
      <t>シチョウソン</t>
    </rPh>
    <rPh sb="6" eb="8">
      <t>チイキ</t>
    </rPh>
    <rPh sb="9" eb="11">
      <t>センタク</t>
    </rPh>
    <phoneticPr fontId="3"/>
  </si>
  <si>
    <t xml:space="preserve"> ←「地域分析」シートで選択した市町村・地域名が自動で反映</t>
    <rPh sb="3" eb="5">
      <t>チイキ</t>
    </rPh>
    <rPh sb="5" eb="7">
      <t>ブンセキ</t>
    </rPh>
    <rPh sb="12" eb="14">
      <t>センタク</t>
    </rPh>
    <rPh sb="16" eb="19">
      <t>シチョウソン</t>
    </rPh>
    <rPh sb="20" eb="22">
      <t>チイキ</t>
    </rPh>
    <rPh sb="22" eb="23">
      <t>メイ</t>
    </rPh>
    <rPh sb="24" eb="26">
      <t>ジドウ</t>
    </rPh>
    <rPh sb="27" eb="29">
      <t>ハンエイ</t>
    </rPh>
    <phoneticPr fontId="3"/>
  </si>
  <si>
    <t>「地域分析」シートで選択した年度↑</t>
    <phoneticPr fontId="3"/>
  </si>
  <si>
    <t>就業者１人当たり総生産</t>
    <rPh sb="0" eb="3">
      <t>シュウギョウシャ</t>
    </rPh>
    <rPh sb="4" eb="6">
      <t>ヒトア</t>
    </rPh>
    <rPh sb="8" eb="11">
      <t>ソウセイサン</t>
    </rPh>
    <phoneticPr fontId="3"/>
  </si>
  <si>
    <t>実質値</t>
    <rPh sb="0" eb="3">
      <t>ジッシツチ</t>
    </rPh>
    <phoneticPr fontId="3"/>
  </si>
  <si>
    <t>（参考）就業者１人あたり市町村内総生産</t>
    <rPh sb="1" eb="3">
      <t>サンコウ</t>
    </rPh>
    <rPh sb="4" eb="7">
      <t>シュウギョウシャ</t>
    </rPh>
    <rPh sb="8" eb="9">
      <t>ヒト</t>
    </rPh>
    <rPh sb="12" eb="19">
      <t>シチョウソンナイソウセイサン</t>
    </rPh>
    <phoneticPr fontId="3"/>
  </si>
  <si>
    <t>（参考）市町村内総生産（実質：連鎖方式）【試算値】</t>
    <rPh sb="1" eb="3">
      <t>サンコウ</t>
    </rPh>
    <rPh sb="4" eb="11">
      <t>シチョウソンナイソウセイサン</t>
    </rPh>
    <rPh sb="12" eb="14">
      <t>ジッシツ</t>
    </rPh>
    <rPh sb="15" eb="19">
      <t>レンサホウシキ</t>
    </rPh>
    <rPh sb="21" eb="24">
      <t>シサンチ</t>
    </rPh>
    <phoneticPr fontId="3"/>
  </si>
  <si>
    <t>就業者一人あたり市町村内総生産</t>
    <rPh sb="0" eb="5">
      <t>シュウギョウシャヒトリ</t>
    </rPh>
    <rPh sb="8" eb="15">
      <t>シチョウソンナイソウセイサン</t>
    </rPh>
    <phoneticPr fontId="3"/>
  </si>
  <si>
    <t>市町村内総生産（実質値）</t>
    <rPh sb="0" eb="7">
      <t>シチョウソンナイソウセイサン</t>
    </rPh>
    <rPh sb="8" eb="11">
      <t>ジッシツチ</t>
    </rPh>
    <phoneticPr fontId="3"/>
  </si>
  <si>
    <t>ＡＡ</t>
    <phoneticPr fontId="3"/>
  </si>
  <si>
    <t>ＡＢ</t>
    <phoneticPr fontId="3"/>
  </si>
  <si>
    <t>就業者１人当たり市町村内総生産　グラフ用</t>
    <rPh sb="0" eb="3">
      <t>シュウギョウシャ</t>
    </rPh>
    <rPh sb="4" eb="6">
      <t>ヒトア</t>
    </rPh>
    <rPh sb="8" eb="12">
      <t>シチョウソンナイ</t>
    </rPh>
    <rPh sb="12" eb="15">
      <t>ソウセイサン</t>
    </rPh>
    <rPh sb="19" eb="20">
      <t>ヨウ</t>
    </rPh>
    <phoneticPr fontId="3"/>
  </si>
  <si>
    <t>水準（県平均＝100）</t>
    <rPh sb="0" eb="2">
      <t>スイジュン</t>
    </rPh>
    <rPh sb="3" eb="6">
      <t>ケンヘイキン</t>
    </rPh>
    <phoneticPr fontId="3"/>
  </si>
  <si>
    <t>H24</t>
    <phoneticPr fontId="3"/>
  </si>
  <si>
    <t>R2</t>
    <phoneticPr fontId="3"/>
  </si>
  <si>
    <t>R3</t>
    <phoneticPr fontId="3"/>
  </si>
  <si>
    <t>R4</t>
    <phoneticPr fontId="3"/>
  </si>
  <si>
    <t>（参考1）市町村内総生産（実質）【試算値】</t>
    <rPh sb="1" eb="3">
      <t>サンコウ</t>
    </rPh>
    <rPh sb="5" eb="12">
      <t>シチョウソンナイソウセイサン</t>
    </rPh>
    <rPh sb="13" eb="15">
      <t>ジッシツ</t>
    </rPh>
    <rPh sb="17" eb="20">
      <t>シサンチ</t>
    </rPh>
    <phoneticPr fontId="3"/>
  </si>
  <si>
    <t>（参考2）就業者１人当たり総生産</t>
    <rPh sb="1" eb="3">
      <t>サンコウ</t>
    </rPh>
    <rPh sb="5" eb="8">
      <t>シュウギョウシャ</t>
    </rPh>
    <rPh sb="9" eb="10">
      <t>ヒト</t>
    </rPh>
    <rPh sb="10" eb="11">
      <t>ア</t>
    </rPh>
    <rPh sb="13" eb="16">
      <t>ソウセイサン</t>
    </rPh>
    <phoneticPr fontId="3"/>
  </si>
  <si>
    <t>　県 平 均</t>
    <rPh sb="1" eb="2">
      <t>ケン</t>
    </rPh>
    <rPh sb="3" eb="4">
      <t>ヒラ</t>
    </rPh>
    <rPh sb="5" eb="6">
      <t>ヒトシ</t>
    </rPh>
    <phoneticPr fontId="3"/>
  </si>
  <si>
    <t>　水準（県＝100）</t>
    <rPh sb="1" eb="3">
      <t>スイジュン</t>
    </rPh>
    <rPh sb="4" eb="5">
      <t>ケン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</si>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</sst>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&quot;令和&quot;0&quot;年度&quot;"/>
    <numFmt numFmtId="179" formatCode="0.0_ "/>
    <numFmt numFmtId="180" formatCode="0.0"/>
    <numFmt numFmtId="181" formatCode="#,##0.000000;&quot;△ &quot;#,##0.000000"/>
    <numFmt numFmtId="182" formatCode="#,##0;&quot;▲ &quot;#,##0"/>
    <numFmt numFmtId="183" formatCode="#,##0.0;&quot;▲ &quot;#,##0.0"/>
    <numFmt numFmtId="184" formatCode="0.0;&quot;▲ &quot;0.0"/>
  </numFmts>
  <fonts count="20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0000FF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5" fillId="0" borderId="8" xfId="1" applyFont="1" applyBorder="1" applyAlignment="1" applyProtection="1">
      <alignment horizontal="center" vertical="center"/>
      <protection locked="0"/>
    </xf>
    <xf numFmtId="38" fontId="5" fillId="0" borderId="9" xfId="1" applyFont="1" applyBorder="1" applyAlignment="1" applyProtection="1">
      <alignment horizontal="center" vertical="center"/>
      <protection locked="0"/>
    </xf>
    <xf numFmtId="38" fontId="5" fillId="0" borderId="4" xfId="1" applyFont="1" applyBorder="1" applyAlignment="1" applyProtection="1">
      <alignment horizontal="center" vertical="center"/>
      <protection locked="0"/>
    </xf>
    <xf numFmtId="38" fontId="5" fillId="0" borderId="5" xfId="1" applyFont="1" applyBorder="1" applyAlignment="1" applyProtection="1">
      <alignment horizontal="center" vertical="center"/>
      <protection locked="0"/>
    </xf>
    <xf numFmtId="38" fontId="5" fillId="0" borderId="12" xfId="1" applyFont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76" fontId="9" fillId="0" borderId="0" xfId="0" applyNumberFormat="1" applyFont="1">
      <alignment vertical="center"/>
    </xf>
    <xf numFmtId="38" fontId="7" fillId="0" borderId="2" xfId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177" fontId="7" fillId="0" borderId="13" xfId="1" applyNumberFormat="1" applyFont="1" applyFill="1" applyBorder="1" applyAlignment="1" applyProtection="1">
      <alignment horizontal="right" vertical="center"/>
      <protection locked="0"/>
    </xf>
    <xf numFmtId="177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7" fillId="0" borderId="7" xfId="1" applyNumberFormat="1" applyFont="1" applyFill="1" applyBorder="1" applyAlignment="1" applyProtection="1">
      <alignment horizontal="right" vertical="center"/>
      <protection locked="0"/>
    </xf>
    <xf numFmtId="177" fontId="7" fillId="0" borderId="10" xfId="1" applyNumberFormat="1" applyFont="1" applyFill="1" applyBorder="1" applyAlignment="1" applyProtection="1">
      <alignment horizontal="right" vertical="center"/>
      <protection locked="0"/>
    </xf>
    <xf numFmtId="38" fontId="5" fillId="0" borderId="11" xfId="1" applyFont="1" applyBorder="1" applyAlignment="1" applyProtection="1">
      <alignment horizontal="center" vertical="center"/>
      <protection locked="0"/>
    </xf>
    <xf numFmtId="38" fontId="2" fillId="0" borderId="0" xfId="1" applyFont="1" applyFill="1" applyAlignment="1">
      <alignment vertical="center"/>
    </xf>
    <xf numFmtId="176" fontId="7" fillId="0" borderId="13" xfId="1" applyNumberFormat="1" applyFont="1" applyFill="1" applyBorder="1" applyAlignment="1" applyProtection="1">
      <alignment horizontal="right" vertical="center"/>
      <protection locked="0"/>
    </xf>
    <xf numFmtId="176" fontId="7" fillId="0" borderId="8" xfId="1" applyNumberFormat="1" applyFont="1" applyFill="1" applyBorder="1" applyAlignment="1" applyProtection="1">
      <alignment horizontal="right" vertical="center"/>
      <protection locked="0"/>
    </xf>
    <xf numFmtId="176" fontId="7" fillId="0" borderId="4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10" xfId="1" applyNumberFormat="1" applyFont="1" applyFill="1" applyBorder="1" applyAlignment="1" applyProtection="1">
      <alignment horizontal="right" vertical="center"/>
      <protection locked="0"/>
    </xf>
    <xf numFmtId="176" fontId="7" fillId="0" borderId="11" xfId="1" applyNumberFormat="1" applyFont="1" applyFill="1" applyBorder="1" applyAlignment="1" applyProtection="1">
      <alignment horizontal="right" vertical="center"/>
      <protection locked="0"/>
    </xf>
    <xf numFmtId="38" fontId="9" fillId="0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8" fillId="2" borderId="16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7" fillId="0" borderId="10" xfId="0" applyFont="1" applyBorder="1" applyAlignment="1">
      <alignment horizontal="center" vertical="center"/>
    </xf>
    <xf numFmtId="38" fontId="11" fillId="0" borderId="14" xfId="1" applyFont="1" applyFill="1" applyBorder="1" applyAlignment="1">
      <alignment horizontal="center" vertical="center" wrapText="1"/>
    </xf>
    <xf numFmtId="176" fontId="7" fillId="0" borderId="7" xfId="1" applyNumberFormat="1" applyFont="1" applyFill="1" applyBorder="1" applyAlignment="1" applyProtection="1">
      <alignment horizontal="right" vertical="center"/>
      <protection locked="0"/>
    </xf>
    <xf numFmtId="0" fontId="5" fillId="2" borderId="14" xfId="0" applyFont="1" applyFill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177" fontId="7" fillId="0" borderId="11" xfId="1" applyNumberFormat="1" applyFont="1" applyFill="1" applyBorder="1" applyAlignment="1" applyProtection="1">
      <alignment horizontal="right" vertical="center"/>
      <protection locked="0"/>
    </xf>
    <xf numFmtId="177" fontId="7" fillId="0" borderId="1" xfId="1" applyNumberFormat="1" applyFont="1" applyFill="1" applyBorder="1" applyAlignment="1" applyProtection="1">
      <alignment horizontal="right" vertical="center"/>
      <protection locked="0"/>
    </xf>
    <xf numFmtId="177" fontId="7" fillId="0" borderId="8" xfId="1" applyNumberFormat="1" applyFont="1" applyFill="1" applyBorder="1" applyAlignment="1" applyProtection="1">
      <alignment horizontal="right" vertical="center"/>
      <protection locked="0"/>
    </xf>
    <xf numFmtId="177" fontId="7" fillId="0" borderId="4" xfId="1" applyNumberFormat="1" applyFont="1" applyFill="1" applyBorder="1" applyAlignment="1" applyProtection="1">
      <alignment horizontal="right" vertical="center"/>
      <protection locked="0"/>
    </xf>
    <xf numFmtId="0" fontId="7" fillId="2" borderId="14" xfId="0" applyFont="1" applyFill="1" applyBorder="1" applyAlignment="1">
      <alignment horizontal="center" vertical="center"/>
    </xf>
    <xf numFmtId="38" fontId="10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>
      <alignment vertical="center"/>
    </xf>
    <xf numFmtId="38" fontId="5" fillId="0" borderId="9" xfId="1" applyFont="1" applyFill="1" applyBorder="1" applyAlignment="1" applyProtection="1">
      <alignment vertical="center"/>
      <protection locked="0"/>
    </xf>
    <xf numFmtId="38" fontId="5" fillId="0" borderId="9" xfId="1" applyFont="1" applyBorder="1" applyAlignment="1" applyProtection="1">
      <alignment vertical="center"/>
      <protection locked="0"/>
    </xf>
    <xf numFmtId="38" fontId="5" fillId="0" borderId="5" xfId="1" applyFont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>
      <alignment vertical="center"/>
    </xf>
    <xf numFmtId="38" fontId="5" fillId="0" borderId="0" xfId="1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vertical="center"/>
      <protection locked="0"/>
    </xf>
    <xf numFmtId="38" fontId="5" fillId="0" borderId="0" xfId="1" applyFont="1" applyBorder="1" applyAlignment="1">
      <alignment vertical="center"/>
    </xf>
    <xf numFmtId="0" fontId="5" fillId="0" borderId="0" xfId="0" applyFont="1">
      <alignment vertical="center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26" xfId="1" applyFont="1" applyBorder="1" applyAlignment="1" applyProtection="1">
      <alignment horizontal="center" vertical="center"/>
      <protection locked="0"/>
    </xf>
    <xf numFmtId="176" fontId="8" fillId="0" borderId="0" xfId="0" applyNumberFormat="1" applyFont="1">
      <alignment vertical="center"/>
    </xf>
    <xf numFmtId="177" fontId="7" fillId="0" borderId="3" xfId="0" applyNumberFormat="1" applyFont="1" applyBorder="1">
      <alignment vertical="center"/>
    </xf>
    <xf numFmtId="0" fontId="8" fillId="0" borderId="3" xfId="0" applyFont="1" applyBorder="1" applyAlignment="1">
      <alignment vertical="center" shrinkToFit="1"/>
    </xf>
    <xf numFmtId="177" fontId="7" fillId="0" borderId="18" xfId="0" applyNumberFormat="1" applyFont="1" applyBorder="1">
      <alignment vertical="center"/>
    </xf>
    <xf numFmtId="0" fontId="8" fillId="0" borderId="18" xfId="0" applyFont="1" applyBorder="1" applyAlignment="1">
      <alignment vertical="center" shrinkToFit="1"/>
    </xf>
    <xf numFmtId="177" fontId="7" fillId="0" borderId="6" xfId="0" applyNumberFormat="1" applyFont="1" applyBorder="1">
      <alignment vertical="center"/>
    </xf>
    <xf numFmtId="0" fontId="8" fillId="0" borderId="6" xfId="0" applyFont="1" applyBorder="1" applyAlignment="1">
      <alignment vertical="center" shrinkToFit="1"/>
    </xf>
    <xf numFmtId="177" fontId="7" fillId="0" borderId="14" xfId="0" applyNumberFormat="1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8" fillId="4" borderId="18" xfId="0" applyFont="1" applyFill="1" applyBorder="1" applyAlignment="1">
      <alignment horizontal="center" vertical="center" shrinkToFit="1"/>
    </xf>
    <xf numFmtId="0" fontId="8" fillId="4" borderId="37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vertical="center" wrapText="1" shrinkToFit="1"/>
    </xf>
    <xf numFmtId="0" fontId="8" fillId="0" borderId="3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7" xfId="1" applyFont="1" applyFill="1" applyBorder="1" applyAlignment="1">
      <alignment horizontal="center" vertical="center" wrapText="1"/>
    </xf>
    <xf numFmtId="38" fontId="11" fillId="0" borderId="20" xfId="1" applyFont="1" applyFill="1" applyBorder="1" applyAlignment="1">
      <alignment horizontal="center" vertical="center" wrapText="1"/>
    </xf>
    <xf numFmtId="38" fontId="7" fillId="0" borderId="0" xfId="1" applyFont="1" applyAlignment="1">
      <alignment horizontal="center" vertical="center"/>
    </xf>
    <xf numFmtId="176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7" fillId="0" borderId="29" xfId="0" applyFont="1" applyBorder="1" applyAlignment="1">
      <alignment horizontal="left" vertical="center"/>
    </xf>
    <xf numFmtId="0" fontId="8" fillId="0" borderId="30" xfId="0" applyFont="1" applyBorder="1">
      <alignment vertical="center"/>
    </xf>
    <xf numFmtId="0" fontId="7" fillId="0" borderId="0" xfId="0" applyFont="1" applyAlignment="1">
      <alignment horizontal="left" vertical="center"/>
    </xf>
    <xf numFmtId="38" fontId="5" fillId="0" borderId="0" xfId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176" fontId="5" fillId="2" borderId="3" xfId="1" applyNumberFormat="1" applyFont="1" applyFill="1" applyBorder="1" applyAlignment="1" applyProtection="1">
      <alignment horizontal="center" vertical="center"/>
      <protection locked="0"/>
    </xf>
    <xf numFmtId="176" fontId="7" fillId="0" borderId="18" xfId="1" applyNumberFormat="1" applyFont="1" applyFill="1" applyBorder="1" applyAlignment="1" applyProtection="1">
      <alignment horizontal="center" vertical="center"/>
      <protection locked="0"/>
    </xf>
    <xf numFmtId="176" fontId="5" fillId="2" borderId="18" xfId="1" applyNumberFormat="1" applyFont="1" applyFill="1" applyBorder="1" applyAlignment="1" applyProtection="1">
      <alignment horizontal="center" vertical="center"/>
      <protection locked="0"/>
    </xf>
    <xf numFmtId="176" fontId="7" fillId="0" borderId="6" xfId="1" applyNumberFormat="1" applyFont="1" applyFill="1" applyBorder="1" applyAlignment="1" applyProtection="1">
      <alignment horizontal="center" vertical="center"/>
      <protection locked="0"/>
    </xf>
    <xf numFmtId="176" fontId="5" fillId="2" borderId="6" xfId="1" applyNumberFormat="1" applyFont="1" applyFill="1" applyBorder="1" applyAlignment="1" applyProtection="1">
      <alignment horizontal="center" vertical="center"/>
      <protection locked="0"/>
    </xf>
    <xf numFmtId="176" fontId="7" fillId="0" borderId="25" xfId="1" applyNumberFormat="1" applyFont="1" applyFill="1" applyBorder="1" applyAlignment="1" applyProtection="1">
      <alignment horizontal="center" vertical="center"/>
      <protection locked="0"/>
    </xf>
    <xf numFmtId="176" fontId="5" fillId="2" borderId="25" xfId="1" applyNumberFormat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12" xfId="1" applyFont="1" applyBorder="1" applyAlignment="1" applyProtection="1">
      <alignment horizontal="left" vertical="center"/>
      <protection locked="0"/>
    </xf>
    <xf numFmtId="38" fontId="5" fillId="0" borderId="9" xfId="1" applyFont="1" applyBorder="1" applyAlignment="1" applyProtection="1">
      <alignment horizontal="left" vertical="center"/>
      <protection locked="0"/>
    </xf>
    <xf numFmtId="38" fontId="5" fillId="0" borderId="5" xfId="1" applyFont="1" applyBorder="1" applyAlignment="1" applyProtection="1">
      <alignment horizontal="left" vertical="center"/>
      <protection locked="0"/>
    </xf>
    <xf numFmtId="38" fontId="5" fillId="0" borderId="27" xfId="1" applyFont="1" applyBorder="1" applyAlignment="1" applyProtection="1">
      <alignment horizontal="left" vertical="center"/>
      <protection locked="0"/>
    </xf>
    <xf numFmtId="176" fontId="7" fillId="0" borderId="26" xfId="1" applyNumberFormat="1" applyFont="1" applyFill="1" applyBorder="1" applyAlignment="1" applyProtection="1">
      <alignment horizontal="right" vertical="center"/>
      <protection locked="0"/>
    </xf>
    <xf numFmtId="176" fontId="7" fillId="0" borderId="28" xfId="1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>
      <alignment vertical="center"/>
    </xf>
    <xf numFmtId="38" fontId="5" fillId="0" borderId="5" xfId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5" fillId="0" borderId="1" xfId="1" quotePrefix="1" applyFont="1" applyBorder="1" applyAlignment="1">
      <alignment horizontal="center" vertical="center"/>
    </xf>
    <xf numFmtId="38" fontId="5" fillId="0" borderId="8" xfId="1" quotePrefix="1" applyFont="1" applyBorder="1" applyAlignment="1">
      <alignment horizontal="center" vertical="center"/>
    </xf>
    <xf numFmtId="38" fontId="5" fillId="0" borderId="4" xfId="1" quotePrefix="1" applyFont="1" applyBorder="1" applyAlignment="1">
      <alignment horizontal="center" vertical="center"/>
    </xf>
    <xf numFmtId="38" fontId="5" fillId="0" borderId="8" xfId="1" quotePrefix="1" applyFont="1" applyFill="1" applyBorder="1" applyAlignment="1" applyProtection="1">
      <alignment horizontal="center" vertical="center"/>
      <protection locked="0"/>
    </xf>
    <xf numFmtId="38" fontId="5" fillId="0" borderId="1" xfId="1" quotePrefix="1" applyFont="1" applyBorder="1" applyAlignment="1" applyProtection="1">
      <alignment horizontal="center" vertical="center"/>
      <protection locked="0"/>
    </xf>
    <xf numFmtId="38" fontId="5" fillId="0" borderId="2" xfId="1" applyFont="1" applyBorder="1" applyAlignment="1" applyProtection="1">
      <alignment horizontal="left" vertical="center"/>
      <protection locked="0"/>
    </xf>
    <xf numFmtId="176" fontId="7" fillId="0" borderId="1" xfId="1" applyNumberFormat="1" applyFont="1" applyFill="1" applyBorder="1" applyAlignment="1" applyProtection="1">
      <alignment horizontal="right" vertical="center"/>
      <protection locked="0"/>
    </xf>
    <xf numFmtId="38" fontId="5" fillId="0" borderId="8" xfId="1" quotePrefix="1" applyFont="1" applyBorder="1" applyAlignment="1" applyProtection="1">
      <alignment horizontal="center" vertical="center"/>
      <protection locked="0"/>
    </xf>
    <xf numFmtId="38" fontId="5" fillId="0" borderId="4" xfId="1" quotePrefix="1" applyFont="1" applyBorder="1" applyAlignment="1" applyProtection="1">
      <alignment horizontal="center" vertical="center"/>
      <protection locked="0"/>
    </xf>
    <xf numFmtId="176" fontId="5" fillId="2" borderId="3" xfId="1" applyNumberFormat="1" applyFont="1" applyFill="1" applyBorder="1" applyAlignment="1" applyProtection="1">
      <alignment horizontal="left" vertical="center" shrinkToFit="1"/>
      <protection locked="0"/>
    </xf>
    <xf numFmtId="176" fontId="5" fillId="2" borderId="18" xfId="1" applyNumberFormat="1" applyFont="1" applyFill="1" applyBorder="1" applyAlignment="1" applyProtection="1">
      <alignment horizontal="left" vertical="center" shrinkToFit="1"/>
      <protection locked="0"/>
    </xf>
    <xf numFmtId="176" fontId="5" fillId="2" borderId="25" xfId="1" applyNumberFormat="1" applyFont="1" applyFill="1" applyBorder="1" applyAlignment="1" applyProtection="1">
      <alignment horizontal="left" vertical="center" shrinkToFit="1"/>
      <protection locked="0"/>
    </xf>
    <xf numFmtId="0" fontId="8" fillId="2" borderId="18" xfId="0" applyFont="1" applyFill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38" fontId="7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176" fontId="7" fillId="4" borderId="2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8" fillId="4" borderId="29" xfId="0" applyFont="1" applyFill="1" applyBorder="1">
      <alignment vertical="center"/>
    </xf>
    <xf numFmtId="0" fontId="8" fillId="4" borderId="14" xfId="0" applyFont="1" applyFill="1" applyBorder="1" applyAlignment="1">
      <alignment horizontal="center" vertical="center"/>
    </xf>
    <xf numFmtId="0" fontId="7" fillId="4" borderId="11" xfId="0" applyFont="1" applyFill="1" applyBorder="1">
      <alignment vertical="center"/>
    </xf>
    <xf numFmtId="0" fontId="7" fillId="4" borderId="13" xfId="0" applyFont="1" applyFill="1" applyBorder="1">
      <alignment vertical="center"/>
    </xf>
    <xf numFmtId="38" fontId="5" fillId="4" borderId="12" xfId="1" applyFont="1" applyFill="1" applyBorder="1" applyAlignment="1" applyProtection="1">
      <alignment horizontal="center" vertical="center"/>
      <protection locked="0"/>
    </xf>
    <xf numFmtId="176" fontId="7" fillId="4" borderId="13" xfId="1" applyNumberFormat="1" applyFont="1" applyFill="1" applyBorder="1" applyAlignment="1" applyProtection="1">
      <alignment horizontal="center" vertical="center"/>
      <protection locked="0"/>
    </xf>
    <xf numFmtId="38" fontId="5" fillId="4" borderId="9" xfId="1" applyFont="1" applyFill="1" applyBorder="1" applyAlignment="1" applyProtection="1">
      <alignment horizontal="center" vertical="center"/>
      <protection locked="0"/>
    </xf>
    <xf numFmtId="176" fontId="7" fillId="4" borderId="1" xfId="1" applyNumberFormat="1" applyFont="1" applyFill="1" applyBorder="1" applyAlignment="1" applyProtection="1">
      <alignment horizontal="center" vertical="center"/>
      <protection locked="0"/>
    </xf>
    <xf numFmtId="176" fontId="7" fillId="4" borderId="7" xfId="1" applyNumberFormat="1" applyFont="1" applyFill="1" applyBorder="1" applyAlignment="1" applyProtection="1">
      <alignment horizontal="center" vertical="center"/>
      <protection locked="0"/>
    </xf>
    <xf numFmtId="176" fontId="7" fillId="4" borderId="8" xfId="1" applyNumberFormat="1" applyFont="1" applyFill="1" applyBorder="1" applyAlignment="1" applyProtection="1">
      <alignment horizontal="center" vertical="center"/>
      <protection locked="0"/>
    </xf>
    <xf numFmtId="176" fontId="7" fillId="4" borderId="0" xfId="1" applyNumberFormat="1" applyFont="1" applyFill="1" applyBorder="1" applyAlignment="1" applyProtection="1">
      <alignment horizontal="center" vertical="center"/>
      <protection locked="0"/>
    </xf>
    <xf numFmtId="38" fontId="5" fillId="4" borderId="5" xfId="1" applyFont="1" applyFill="1" applyBorder="1" applyAlignment="1" applyProtection="1">
      <alignment horizontal="center" vertical="center"/>
      <protection locked="0"/>
    </xf>
    <xf numFmtId="176" fontId="7" fillId="4" borderId="4" xfId="1" applyNumberFormat="1" applyFont="1" applyFill="1" applyBorder="1" applyAlignment="1" applyProtection="1">
      <alignment horizontal="center" vertical="center"/>
      <protection locked="0"/>
    </xf>
    <xf numFmtId="176" fontId="7" fillId="4" borderId="10" xfId="1" applyNumberFormat="1" applyFont="1" applyFill="1" applyBorder="1" applyAlignment="1" applyProtection="1">
      <alignment horizontal="center" vertical="center"/>
      <protection locked="0"/>
    </xf>
    <xf numFmtId="38" fontId="5" fillId="4" borderId="2" xfId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8" fontId="5" fillId="2" borderId="3" xfId="1" applyFont="1" applyFill="1" applyBorder="1" applyAlignment="1" applyProtection="1">
      <alignment horizontal="center" vertical="center"/>
      <protection locked="0"/>
    </xf>
    <xf numFmtId="38" fontId="5" fillId="2" borderId="18" xfId="1" applyFont="1" applyFill="1" applyBorder="1" applyAlignment="1" applyProtection="1">
      <alignment horizontal="center" vertical="center"/>
      <protection locked="0"/>
    </xf>
    <xf numFmtId="38" fontId="5" fillId="2" borderId="18" xfId="1" quotePrefix="1" applyFont="1" applyFill="1" applyBorder="1" applyAlignment="1">
      <alignment horizontal="center" vertical="center"/>
    </xf>
    <xf numFmtId="38" fontId="5" fillId="2" borderId="6" xfId="1" quotePrefix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38" fontId="5" fillId="0" borderId="9" xfId="1" quotePrefix="1" applyFont="1" applyFill="1" applyBorder="1" applyAlignment="1">
      <alignment horizontal="center" vertical="center"/>
    </xf>
    <xf numFmtId="38" fontId="10" fillId="2" borderId="14" xfId="1" applyFont="1" applyFill="1" applyBorder="1" applyAlignment="1">
      <alignment horizontal="left" vertical="center"/>
    </xf>
    <xf numFmtId="177" fontId="7" fillId="3" borderId="1" xfId="1" applyNumberFormat="1" applyFont="1" applyFill="1" applyBorder="1" applyAlignment="1" applyProtection="1">
      <alignment horizontal="right" vertical="center"/>
      <protection locked="0"/>
    </xf>
    <xf numFmtId="177" fontId="7" fillId="3" borderId="8" xfId="1" applyNumberFormat="1" applyFont="1" applyFill="1" applyBorder="1" applyAlignment="1" applyProtection="1">
      <alignment horizontal="right" vertical="center"/>
      <protection locked="0"/>
    </xf>
    <xf numFmtId="177" fontId="7" fillId="3" borderId="11" xfId="1" applyNumberFormat="1" applyFont="1" applyFill="1" applyBorder="1" applyAlignment="1" applyProtection="1">
      <alignment horizontal="right" vertical="center"/>
      <protection locked="0"/>
    </xf>
    <xf numFmtId="177" fontId="7" fillId="3" borderId="26" xfId="1" applyNumberFormat="1" applyFont="1" applyFill="1" applyBorder="1" applyAlignment="1" applyProtection="1">
      <alignment horizontal="right" vertical="center"/>
      <protection locked="0"/>
    </xf>
    <xf numFmtId="177" fontId="7" fillId="0" borderId="28" xfId="1" applyNumberFormat="1" applyFont="1" applyFill="1" applyBorder="1" applyAlignment="1" applyProtection="1">
      <alignment horizontal="right" vertical="center"/>
      <protection locked="0"/>
    </xf>
    <xf numFmtId="177" fontId="7" fillId="3" borderId="4" xfId="1" applyNumberFormat="1" applyFont="1" applyFill="1" applyBorder="1" applyAlignment="1" applyProtection="1">
      <alignment horizontal="right" vertical="center"/>
      <protection locked="0"/>
    </xf>
    <xf numFmtId="177" fontId="7" fillId="0" borderId="26" xfId="1" applyNumberFormat="1" applyFont="1" applyFill="1" applyBorder="1" applyAlignment="1" applyProtection="1">
      <alignment horizontal="right" vertical="center"/>
      <protection locked="0"/>
    </xf>
    <xf numFmtId="177" fontId="7" fillId="0" borderId="24" xfId="1" applyNumberFormat="1" applyFont="1" applyFill="1" applyBorder="1" applyAlignment="1" applyProtection="1">
      <alignment horizontal="right" vertical="center"/>
      <protection locked="0"/>
    </xf>
    <xf numFmtId="177" fontId="7" fillId="3" borderId="23" xfId="1" applyNumberFormat="1" applyFont="1" applyFill="1" applyBorder="1" applyAlignment="1" applyProtection="1">
      <alignment horizontal="right" vertical="center"/>
      <protection locked="0"/>
    </xf>
    <xf numFmtId="38" fontId="7" fillId="0" borderId="0" xfId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8" fillId="5" borderId="46" xfId="0" applyFont="1" applyFill="1" applyBorder="1" applyAlignment="1">
      <alignment horizontal="center" vertical="center"/>
    </xf>
    <xf numFmtId="0" fontId="8" fillId="5" borderId="47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shrinkToFit="1"/>
    </xf>
    <xf numFmtId="0" fontId="8" fillId="4" borderId="34" xfId="0" applyFont="1" applyFill="1" applyBorder="1" applyAlignment="1">
      <alignment horizontal="center" vertical="center" shrinkToFit="1"/>
    </xf>
    <xf numFmtId="0" fontId="8" fillId="4" borderId="32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8" fillId="4" borderId="35" xfId="0" applyFont="1" applyFill="1" applyBorder="1" applyAlignment="1">
      <alignment horizontal="center" vertical="center" shrinkToFit="1"/>
    </xf>
    <xf numFmtId="178" fontId="7" fillId="0" borderId="0" xfId="0" applyNumberFormat="1" applyFont="1">
      <alignment vertical="center"/>
    </xf>
    <xf numFmtId="0" fontId="5" fillId="0" borderId="6" xfId="1" applyNumberFormat="1" applyFont="1" applyFill="1" applyBorder="1" applyAlignment="1">
      <alignment horizontal="center" vertical="center" shrinkToFit="1"/>
    </xf>
    <xf numFmtId="0" fontId="5" fillId="0" borderId="10" xfId="1" applyNumberFormat="1" applyFont="1" applyFill="1" applyBorder="1" applyAlignment="1">
      <alignment horizontal="center" vertical="center" shrinkToFit="1"/>
    </xf>
    <xf numFmtId="0" fontId="5" fillId="0" borderId="14" xfId="1" applyNumberFormat="1" applyFont="1" applyFill="1" applyBorder="1" applyAlignment="1">
      <alignment horizontal="center" vertical="center" shrinkToFit="1"/>
    </xf>
    <xf numFmtId="38" fontId="19" fillId="2" borderId="14" xfId="1" applyFont="1" applyFill="1" applyBorder="1" applyAlignment="1">
      <alignment horizontal="left" vertical="center"/>
    </xf>
    <xf numFmtId="0" fontId="19" fillId="0" borderId="0" xfId="0" applyFont="1">
      <alignment vertical="center"/>
    </xf>
    <xf numFmtId="38" fontId="9" fillId="0" borderId="0" xfId="1" applyFont="1" applyFill="1" applyAlignment="1">
      <alignment horizontal="left" vertical="center"/>
    </xf>
    <xf numFmtId="0" fontId="8" fillId="3" borderId="29" xfId="0" applyFont="1" applyFill="1" applyBorder="1">
      <alignment vertical="center"/>
    </xf>
    <xf numFmtId="0" fontId="7" fillId="3" borderId="3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177" fontId="7" fillId="0" borderId="7" xfId="0" applyNumberFormat="1" applyFont="1" applyBorder="1">
      <alignment vertical="center"/>
    </xf>
    <xf numFmtId="0" fontId="8" fillId="0" borderId="11" xfId="0" applyFont="1" applyBorder="1">
      <alignment vertical="center"/>
    </xf>
    <xf numFmtId="38" fontId="7" fillId="0" borderId="12" xfId="2" applyFont="1" applyBorder="1">
      <alignment vertical="center"/>
    </xf>
    <xf numFmtId="38" fontId="7" fillId="0" borderId="11" xfId="0" applyNumberFormat="1" applyFont="1" applyBorder="1">
      <alignment vertical="center"/>
    </xf>
    <xf numFmtId="10" fontId="7" fillId="0" borderId="12" xfId="4" applyNumberFormat="1" applyFont="1" applyBorder="1">
      <alignment vertical="center"/>
    </xf>
    <xf numFmtId="0" fontId="7" fillId="0" borderId="0" xfId="0" applyFont="1">
      <alignment vertical="center"/>
    </xf>
    <xf numFmtId="180" fontId="7" fillId="0" borderId="0" xfId="0" applyNumberFormat="1" applyFont="1">
      <alignment vertical="center"/>
    </xf>
    <xf numFmtId="0" fontId="8" fillId="0" borderId="0" xfId="0" applyFont="1" applyAlignment="1">
      <alignment horizontal="right" vertical="center" indent="1"/>
    </xf>
    <xf numFmtId="0" fontId="7" fillId="0" borderId="4" xfId="0" applyFont="1" applyBorder="1">
      <alignment vertical="center"/>
    </xf>
    <xf numFmtId="180" fontId="7" fillId="0" borderId="3" xfId="0" applyNumberFormat="1" applyFont="1" applyBorder="1">
      <alignment vertical="center"/>
    </xf>
    <xf numFmtId="180" fontId="7" fillId="0" borderId="18" xfId="0" applyNumberFormat="1" applyFont="1" applyBorder="1">
      <alignment vertical="center"/>
    </xf>
    <xf numFmtId="180" fontId="7" fillId="0" borderId="6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6" xfId="0" applyFont="1" applyBorder="1">
      <alignment vertical="center"/>
    </xf>
    <xf numFmtId="176" fontId="7" fillId="0" borderId="3" xfId="2" applyNumberFormat="1" applyFont="1" applyBorder="1">
      <alignment vertical="center"/>
    </xf>
    <xf numFmtId="176" fontId="7" fillId="0" borderId="18" xfId="2" applyNumberFormat="1" applyFont="1" applyBorder="1">
      <alignment vertical="center"/>
    </xf>
    <xf numFmtId="176" fontId="7" fillId="0" borderId="6" xfId="2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0" fontId="8" fillId="0" borderId="25" xfId="0" applyFont="1" applyBorder="1" applyAlignment="1">
      <alignment vertical="center" wrapText="1" shrinkToFit="1"/>
    </xf>
    <xf numFmtId="176" fontId="7" fillId="0" borderId="25" xfId="2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181" fontId="7" fillId="0" borderId="3" xfId="0" applyNumberFormat="1" applyFont="1" applyBorder="1">
      <alignment vertical="center"/>
    </xf>
    <xf numFmtId="181" fontId="7" fillId="0" borderId="18" xfId="0" applyNumberFormat="1" applyFont="1" applyBorder="1">
      <alignment vertical="center"/>
    </xf>
    <xf numFmtId="181" fontId="7" fillId="0" borderId="6" xfId="0" applyNumberFormat="1" applyFont="1" applyBorder="1">
      <alignment vertical="center"/>
    </xf>
    <xf numFmtId="179" fontId="9" fillId="0" borderId="0" xfId="0" applyNumberFormat="1" applyFont="1" applyAlignment="1">
      <alignment horizontal="center" vertical="center"/>
    </xf>
    <xf numFmtId="0" fontId="7" fillId="0" borderId="11" xfId="0" applyFont="1" applyBorder="1">
      <alignment vertical="center"/>
    </xf>
    <xf numFmtId="38" fontId="5" fillId="0" borderId="0" xfId="1" quotePrefix="1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left" vertical="center"/>
      <protection locked="0"/>
    </xf>
    <xf numFmtId="38" fontId="5" fillId="0" borderId="1" xfId="1" quotePrefix="1" applyFont="1" applyBorder="1" applyAlignment="1" applyProtection="1">
      <alignment horizontal="left" vertical="center"/>
      <protection locked="0"/>
    </xf>
    <xf numFmtId="38" fontId="5" fillId="0" borderId="8" xfId="1" quotePrefix="1" applyFont="1" applyBorder="1" applyAlignment="1" applyProtection="1">
      <alignment horizontal="left" vertical="center"/>
      <protection locked="0"/>
    </xf>
    <xf numFmtId="38" fontId="5" fillId="0" borderId="4" xfId="1" quotePrefix="1" applyFont="1" applyBorder="1" applyAlignment="1" applyProtection="1">
      <alignment horizontal="left" vertical="center"/>
      <protection locked="0"/>
    </xf>
    <xf numFmtId="38" fontId="5" fillId="4" borderId="26" xfId="1" quotePrefix="1" applyFont="1" applyFill="1" applyBorder="1" applyAlignment="1" applyProtection="1">
      <alignment horizontal="left" vertical="center"/>
      <protection locked="0"/>
    </xf>
    <xf numFmtId="38" fontId="5" fillId="4" borderId="27" xfId="1" applyFont="1" applyFill="1" applyBorder="1" applyAlignment="1" applyProtection="1">
      <alignment horizontal="right" vertical="center"/>
      <protection locked="0"/>
    </xf>
    <xf numFmtId="0" fontId="7" fillId="4" borderId="28" xfId="1" applyNumberFormat="1" applyFont="1" applyFill="1" applyBorder="1" applyAlignment="1">
      <alignment horizontal="center" vertical="center"/>
    </xf>
    <xf numFmtId="0" fontId="8" fillId="4" borderId="28" xfId="1" applyNumberFormat="1" applyFont="1" applyFill="1" applyBorder="1" applyAlignment="1">
      <alignment horizontal="center" vertical="center"/>
    </xf>
    <xf numFmtId="38" fontId="8" fillId="0" borderId="0" xfId="0" applyNumberFormat="1" applyFont="1">
      <alignment vertical="center"/>
    </xf>
    <xf numFmtId="0" fontId="7" fillId="0" borderId="15" xfId="0" applyFont="1" applyBorder="1" applyAlignment="1">
      <alignment horizontal="center" vertical="center"/>
    </xf>
    <xf numFmtId="38" fontId="7" fillId="0" borderId="13" xfId="2" applyFont="1" applyBorder="1">
      <alignment vertical="center"/>
    </xf>
    <xf numFmtId="0" fontId="9" fillId="0" borderId="11" xfId="0" applyFont="1" applyBorder="1">
      <alignment vertical="center"/>
    </xf>
    <xf numFmtId="38" fontId="2" fillId="0" borderId="0" xfId="1" quotePrefix="1" applyFont="1" applyBorder="1" applyAlignment="1" applyProtection="1">
      <alignment horizontal="left" vertical="center"/>
      <protection locked="0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38" fontId="5" fillId="0" borderId="27" xfId="1" applyFont="1" applyFill="1" applyBorder="1" applyAlignment="1" applyProtection="1">
      <alignment vertical="center"/>
      <protection locked="0"/>
    </xf>
    <xf numFmtId="38" fontId="19" fillId="4" borderId="15" xfId="1" applyFont="1" applyFill="1" applyBorder="1" applyAlignment="1">
      <alignment vertical="center"/>
    </xf>
    <xf numFmtId="38" fontId="19" fillId="4" borderId="15" xfId="1" applyFont="1" applyFill="1" applyBorder="1" applyAlignment="1">
      <alignment horizontal="center" vertical="center"/>
    </xf>
    <xf numFmtId="38" fontId="5" fillId="6" borderId="11" xfId="1" applyFont="1" applyFill="1" applyBorder="1" applyAlignment="1" applyProtection="1">
      <alignment horizontal="center" vertical="center"/>
      <protection locked="0"/>
    </xf>
    <xf numFmtId="38" fontId="5" fillId="6" borderId="12" xfId="1" applyFont="1" applyFill="1" applyBorder="1" applyAlignment="1" applyProtection="1">
      <alignment vertical="center"/>
      <protection locked="0"/>
    </xf>
    <xf numFmtId="38" fontId="5" fillId="6" borderId="8" xfId="1" applyFont="1" applyFill="1" applyBorder="1" applyAlignment="1" applyProtection="1">
      <alignment horizontal="center" vertical="center"/>
      <protection locked="0"/>
    </xf>
    <xf numFmtId="38" fontId="5" fillId="6" borderId="9" xfId="1" applyFont="1" applyFill="1" applyBorder="1" applyAlignment="1" applyProtection="1">
      <alignment vertical="center"/>
      <protection locked="0"/>
    </xf>
    <xf numFmtId="38" fontId="7" fillId="0" borderId="0" xfId="1" applyFont="1" applyFill="1" applyAlignment="1">
      <alignment horizontal="left" vertical="center"/>
    </xf>
    <xf numFmtId="176" fontId="9" fillId="2" borderId="11" xfId="1" applyNumberFormat="1" applyFont="1" applyFill="1" applyBorder="1" applyAlignment="1" applyProtection="1">
      <alignment horizontal="right" vertical="center"/>
      <protection locked="0"/>
    </xf>
    <xf numFmtId="176" fontId="9" fillId="2" borderId="13" xfId="1" applyNumberFormat="1" applyFont="1" applyFill="1" applyBorder="1" applyAlignment="1" applyProtection="1">
      <alignment horizontal="right" vertical="center"/>
      <protection locked="0"/>
    </xf>
    <xf numFmtId="176" fontId="9" fillId="2" borderId="12" xfId="1" applyNumberFormat="1" applyFont="1" applyFill="1" applyBorder="1" applyAlignment="1" applyProtection="1">
      <alignment horizontal="right" vertical="center"/>
      <protection locked="0"/>
    </xf>
    <xf numFmtId="176" fontId="9" fillId="2" borderId="19" xfId="1" applyNumberFormat="1" applyFont="1" applyFill="1" applyBorder="1" applyAlignment="1" applyProtection="1">
      <alignment horizontal="right" vertical="center"/>
      <protection locked="0"/>
    </xf>
    <xf numFmtId="176" fontId="9" fillId="2" borderId="1" xfId="1" applyNumberFormat="1" applyFont="1" applyFill="1" applyBorder="1" applyAlignment="1" applyProtection="1">
      <alignment horizontal="right" vertical="center"/>
      <protection locked="0"/>
    </xf>
    <xf numFmtId="176" fontId="9" fillId="2" borderId="7" xfId="1" applyNumberFormat="1" applyFont="1" applyFill="1" applyBorder="1" applyAlignment="1" applyProtection="1">
      <alignment horizontal="right" vertical="center"/>
      <protection locked="0"/>
    </xf>
    <xf numFmtId="176" fontId="9" fillId="2" borderId="2" xfId="1" applyNumberFormat="1" applyFont="1" applyFill="1" applyBorder="1" applyAlignment="1" applyProtection="1">
      <alignment horizontal="right" vertical="center"/>
      <protection locked="0"/>
    </xf>
    <xf numFmtId="176" fontId="9" fillId="2" borderId="20" xfId="1" applyNumberFormat="1" applyFont="1" applyFill="1" applyBorder="1" applyAlignment="1" applyProtection="1">
      <alignment horizontal="right" vertical="center"/>
      <protection locked="0"/>
    </xf>
    <xf numFmtId="176" fontId="9" fillId="2" borderId="8" xfId="1" applyNumberFormat="1" applyFont="1" applyFill="1" applyBorder="1" applyAlignment="1" applyProtection="1">
      <alignment horizontal="right" vertical="center"/>
      <protection locked="0"/>
    </xf>
    <xf numFmtId="176" fontId="9" fillId="2" borderId="0" xfId="1" applyNumberFormat="1" applyFont="1" applyFill="1" applyBorder="1" applyAlignment="1" applyProtection="1">
      <alignment horizontal="right" vertical="center"/>
      <protection locked="0"/>
    </xf>
    <xf numFmtId="176" fontId="9" fillId="2" borderId="9" xfId="1" applyNumberFormat="1" applyFont="1" applyFill="1" applyBorder="1" applyAlignment="1" applyProtection="1">
      <alignment horizontal="right" vertical="center"/>
      <protection locked="0"/>
    </xf>
    <xf numFmtId="176" fontId="9" fillId="2" borderId="21" xfId="1" applyNumberFormat="1" applyFont="1" applyFill="1" applyBorder="1" applyAlignment="1" applyProtection="1">
      <alignment horizontal="right" vertical="center"/>
      <protection locked="0"/>
    </xf>
    <xf numFmtId="176" fontId="9" fillId="2" borderId="4" xfId="1" applyNumberFormat="1" applyFont="1" applyFill="1" applyBorder="1" applyAlignment="1" applyProtection="1">
      <alignment horizontal="right" vertical="center"/>
      <protection locked="0"/>
    </xf>
    <xf numFmtId="176" fontId="9" fillId="2" borderId="10" xfId="1" applyNumberFormat="1" applyFont="1" applyFill="1" applyBorder="1" applyAlignment="1" applyProtection="1">
      <alignment horizontal="right" vertical="center"/>
      <protection locked="0"/>
    </xf>
    <xf numFmtId="176" fontId="9" fillId="2" borderId="5" xfId="1" applyNumberFormat="1" applyFont="1" applyFill="1" applyBorder="1" applyAlignment="1" applyProtection="1">
      <alignment horizontal="right" vertical="center"/>
      <protection locked="0"/>
    </xf>
    <xf numFmtId="176" fontId="9" fillId="2" borderId="22" xfId="1" applyNumberFormat="1" applyFont="1" applyFill="1" applyBorder="1" applyAlignment="1" applyProtection="1">
      <alignment horizontal="right" vertical="center"/>
      <protection locked="0"/>
    </xf>
    <xf numFmtId="38" fontId="11" fillId="0" borderId="49" xfId="1" applyFont="1" applyFill="1" applyBorder="1" applyAlignment="1">
      <alignment horizontal="center" vertical="center" wrapText="1"/>
    </xf>
    <xf numFmtId="176" fontId="9" fillId="2" borderId="48" xfId="1" applyNumberFormat="1" applyFont="1" applyFill="1" applyBorder="1" applyAlignment="1" applyProtection="1">
      <alignment horizontal="right" vertical="center"/>
      <protection locked="0"/>
    </xf>
    <xf numFmtId="176" fontId="9" fillId="2" borderId="49" xfId="1" applyNumberFormat="1" applyFont="1" applyFill="1" applyBorder="1" applyAlignment="1" applyProtection="1">
      <alignment horizontal="right" vertical="center"/>
      <protection locked="0"/>
    </xf>
    <xf numFmtId="176" fontId="9" fillId="2" borderId="50" xfId="1" applyNumberFormat="1" applyFont="1" applyFill="1" applyBorder="1" applyAlignment="1" applyProtection="1">
      <alignment horizontal="right" vertical="center"/>
      <protection locked="0"/>
    </xf>
    <xf numFmtId="176" fontId="9" fillId="2" borderId="51" xfId="1" applyNumberFormat="1" applyFont="1" applyFill="1" applyBorder="1" applyAlignment="1" applyProtection="1">
      <alignment horizontal="right" vertical="center"/>
      <protection locked="0"/>
    </xf>
    <xf numFmtId="38" fontId="11" fillId="0" borderId="52" xfId="1" applyFont="1" applyFill="1" applyBorder="1" applyAlignment="1">
      <alignment horizontal="center" vertical="center" wrapText="1"/>
    </xf>
    <xf numFmtId="176" fontId="9" fillId="2" borderId="53" xfId="1" applyNumberFormat="1" applyFont="1" applyFill="1" applyBorder="1" applyAlignment="1" applyProtection="1">
      <alignment horizontal="right" vertical="center"/>
      <protection locked="0"/>
    </xf>
    <xf numFmtId="176" fontId="9" fillId="2" borderId="52" xfId="1" applyNumberFormat="1" applyFont="1" applyFill="1" applyBorder="1" applyAlignment="1" applyProtection="1">
      <alignment horizontal="right" vertical="center"/>
      <protection locked="0"/>
    </xf>
    <xf numFmtId="176" fontId="9" fillId="2" borderId="54" xfId="1" applyNumberFormat="1" applyFont="1" applyFill="1" applyBorder="1" applyAlignment="1" applyProtection="1">
      <alignment horizontal="right" vertical="center"/>
      <protection locked="0"/>
    </xf>
    <xf numFmtId="176" fontId="9" fillId="2" borderId="55" xfId="1" applyNumberFormat="1" applyFont="1" applyFill="1" applyBorder="1" applyAlignment="1" applyProtection="1">
      <alignment horizontal="right" vertical="center"/>
      <protection locked="0"/>
    </xf>
    <xf numFmtId="38" fontId="11" fillId="0" borderId="3" xfId="1" applyFont="1" applyFill="1" applyBorder="1" applyAlignment="1">
      <alignment horizontal="center" vertical="center" wrapText="1"/>
    </xf>
    <xf numFmtId="176" fontId="9" fillId="2" borderId="14" xfId="1" applyNumberFormat="1" applyFont="1" applyFill="1" applyBorder="1" applyAlignment="1" applyProtection="1">
      <alignment horizontal="right" vertical="center"/>
      <protection locked="0"/>
    </xf>
    <xf numFmtId="176" fontId="9" fillId="2" borderId="3" xfId="1" applyNumberFormat="1" applyFont="1" applyFill="1" applyBorder="1" applyAlignment="1" applyProtection="1">
      <alignment horizontal="right" vertical="center"/>
      <protection locked="0"/>
    </xf>
    <xf numFmtId="176" fontId="9" fillId="2" borderId="18" xfId="1" applyNumberFormat="1" applyFont="1" applyFill="1" applyBorder="1" applyAlignment="1" applyProtection="1">
      <alignment horizontal="right" vertical="center"/>
      <protection locked="0"/>
    </xf>
    <xf numFmtId="176" fontId="9" fillId="2" borderId="6" xfId="1" applyNumberFormat="1" applyFont="1" applyFill="1" applyBorder="1" applyAlignment="1" applyProtection="1">
      <alignment horizontal="right" vertical="center"/>
      <protection locked="0"/>
    </xf>
    <xf numFmtId="0" fontId="8" fillId="2" borderId="3" xfId="0" applyFont="1" applyFill="1" applyBorder="1" applyAlignment="1">
      <alignment horizontal="left" vertical="center" shrinkToFit="1"/>
    </xf>
    <xf numFmtId="176" fontId="7" fillId="0" borderId="3" xfId="1" applyNumberFormat="1" applyFont="1" applyFill="1" applyBorder="1" applyAlignment="1" applyProtection="1">
      <alignment horizontal="center" vertical="center"/>
      <protection locked="0"/>
    </xf>
    <xf numFmtId="38" fontId="5" fillId="0" borderId="7" xfId="1" applyFont="1" applyBorder="1" applyAlignment="1" applyProtection="1">
      <alignment horizontal="left" vertical="center"/>
      <protection locked="0"/>
    </xf>
    <xf numFmtId="176" fontId="7" fillId="0" borderId="2" xfId="1" applyNumberFormat="1" applyFont="1" applyFill="1" applyBorder="1" applyAlignment="1" applyProtection="1">
      <alignment horizontal="right" vertical="center"/>
      <protection locked="0"/>
    </xf>
    <xf numFmtId="38" fontId="5" fillId="0" borderId="10" xfId="1" applyFont="1" applyBorder="1" applyAlignment="1" applyProtection="1">
      <alignment horizontal="left" vertical="center"/>
      <protection locked="0"/>
    </xf>
    <xf numFmtId="176" fontId="7" fillId="0" borderId="5" xfId="1" applyNumberFormat="1" applyFont="1" applyFill="1" applyBorder="1" applyAlignment="1" applyProtection="1">
      <alignment horizontal="right" vertical="center"/>
      <protection locked="0"/>
    </xf>
    <xf numFmtId="176" fontId="7" fillId="3" borderId="7" xfId="1" applyNumberFormat="1" applyFont="1" applyFill="1" applyBorder="1" applyAlignment="1" applyProtection="1">
      <alignment horizontal="right" vertical="center"/>
      <protection locked="0"/>
    </xf>
    <xf numFmtId="176" fontId="7" fillId="3" borderId="10" xfId="1" applyNumberFormat="1" applyFont="1" applyFill="1" applyBorder="1" applyAlignment="1" applyProtection="1">
      <alignment horizontal="right" vertical="center"/>
      <protection locked="0"/>
    </xf>
    <xf numFmtId="38" fontId="5" fillId="0" borderId="5" xfId="1" applyFont="1" applyFill="1" applyBorder="1" applyAlignment="1" applyProtection="1">
      <alignment vertical="center"/>
      <protection locked="0"/>
    </xf>
    <xf numFmtId="38" fontId="8" fillId="0" borderId="18" xfId="0" applyNumberFormat="1" applyFont="1" applyBorder="1">
      <alignment vertical="center"/>
    </xf>
    <xf numFmtId="0" fontId="8" fillId="0" borderId="14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38" fontId="7" fillId="0" borderId="1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82" fontId="5" fillId="6" borderId="14" xfId="1" applyNumberFormat="1" applyFont="1" applyFill="1" applyBorder="1" applyAlignment="1" applyProtection="1">
      <alignment horizontal="right" vertical="center"/>
      <protection locked="0"/>
    </xf>
    <xf numFmtId="182" fontId="5" fillId="0" borderId="3" xfId="1" applyNumberFormat="1" applyFont="1" applyFill="1" applyBorder="1" applyAlignment="1" applyProtection="1">
      <alignment horizontal="right" vertical="center"/>
      <protection locked="0"/>
    </xf>
    <xf numFmtId="182" fontId="5" fillId="0" borderId="18" xfId="1" applyNumberFormat="1" applyFont="1" applyFill="1" applyBorder="1" applyAlignment="1" applyProtection="1">
      <alignment horizontal="right" vertical="center"/>
      <protection locked="0"/>
    </xf>
    <xf numFmtId="182" fontId="5" fillId="0" borderId="6" xfId="1" applyNumberFormat="1" applyFont="1" applyFill="1" applyBorder="1" applyAlignment="1" applyProtection="1">
      <alignment horizontal="right" vertical="center"/>
      <protection locked="0"/>
    </xf>
    <xf numFmtId="182" fontId="5" fillId="6" borderId="6" xfId="1" applyNumberFormat="1" applyFont="1" applyFill="1" applyBorder="1" applyAlignment="1" applyProtection="1">
      <alignment horizontal="right" vertical="center"/>
      <protection locked="0"/>
    </xf>
    <xf numFmtId="182" fontId="5" fillId="0" borderId="25" xfId="1" applyNumberFormat="1" applyFont="1" applyFill="1" applyBorder="1" applyAlignment="1" applyProtection="1">
      <alignment horizontal="right" vertical="center"/>
      <protection locked="0"/>
    </xf>
    <xf numFmtId="183" fontId="5" fillId="6" borderId="14" xfId="1" applyNumberFormat="1" applyFont="1" applyFill="1" applyBorder="1" applyAlignment="1" applyProtection="1">
      <alignment horizontal="right" vertical="center"/>
      <protection locked="0"/>
    </xf>
    <xf numFmtId="183" fontId="5" fillId="0" borderId="3" xfId="1" applyNumberFormat="1" applyFont="1" applyFill="1" applyBorder="1" applyAlignment="1" applyProtection="1">
      <alignment horizontal="right" vertical="center"/>
      <protection locked="0"/>
    </xf>
    <xf numFmtId="183" fontId="5" fillId="0" borderId="18" xfId="1" applyNumberFormat="1" applyFont="1" applyFill="1" applyBorder="1" applyAlignment="1" applyProtection="1">
      <alignment horizontal="right" vertical="center"/>
      <protection locked="0"/>
    </xf>
    <xf numFmtId="183" fontId="5" fillId="0" borderId="6" xfId="1" applyNumberFormat="1" applyFont="1" applyFill="1" applyBorder="1" applyAlignment="1" applyProtection="1">
      <alignment horizontal="right" vertical="center"/>
      <protection locked="0"/>
    </xf>
    <xf numFmtId="183" fontId="5" fillId="6" borderId="6" xfId="1" applyNumberFormat="1" applyFont="1" applyFill="1" applyBorder="1" applyAlignment="1" applyProtection="1">
      <alignment horizontal="right" vertical="center"/>
      <protection locked="0"/>
    </xf>
    <xf numFmtId="183" fontId="5" fillId="0" borderId="25" xfId="1" applyNumberFormat="1" applyFont="1" applyFill="1" applyBorder="1" applyAlignment="1" applyProtection="1">
      <alignment horizontal="right" vertical="center"/>
      <protection locked="0"/>
    </xf>
    <xf numFmtId="183" fontId="5" fillId="0" borderId="0" xfId="1" applyNumberFormat="1" applyFont="1" applyFill="1" applyBorder="1" applyAlignment="1" applyProtection="1">
      <alignment horizontal="right" vertical="center"/>
      <protection locked="0"/>
    </xf>
    <xf numFmtId="184" fontId="7" fillId="0" borderId="36" xfId="0" applyNumberFormat="1" applyFont="1" applyBorder="1" applyAlignment="1">
      <alignment vertical="center" shrinkToFit="1"/>
    </xf>
    <xf numFmtId="184" fontId="7" fillId="0" borderId="18" xfId="0" applyNumberFormat="1" applyFont="1" applyBorder="1" applyAlignment="1">
      <alignment vertical="center" shrinkToFit="1"/>
    </xf>
    <xf numFmtId="184" fontId="7" fillId="0" borderId="37" xfId="0" applyNumberFormat="1" applyFont="1" applyBorder="1" applyAlignment="1">
      <alignment vertical="center" shrinkToFit="1"/>
    </xf>
    <xf numFmtId="184" fontId="7" fillId="0" borderId="38" xfId="0" applyNumberFormat="1" applyFont="1" applyBorder="1" applyAlignment="1">
      <alignment vertical="center" shrinkToFit="1"/>
    </xf>
    <xf numFmtId="184" fontId="7" fillId="0" borderId="39" xfId="0" applyNumberFormat="1" applyFont="1" applyBorder="1" applyAlignment="1">
      <alignment vertical="center" shrinkToFit="1"/>
    </xf>
    <xf numFmtId="184" fontId="7" fillId="0" borderId="40" xfId="0" applyNumberFormat="1" applyFont="1" applyBorder="1" applyAlignment="1">
      <alignment vertical="center" shrinkToFit="1"/>
    </xf>
    <xf numFmtId="180" fontId="7" fillId="0" borderId="10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8" fillId="0" borderId="0" xfId="0" applyFont="1" applyAlignment="1">
      <alignment vertical="center" wrapText="1" shrinkToFit="1"/>
    </xf>
    <xf numFmtId="181" fontId="7" fillId="0" borderId="0" xfId="0" applyNumberFormat="1" applyFont="1">
      <alignment vertical="center"/>
    </xf>
    <xf numFmtId="0" fontId="8" fillId="4" borderId="56" xfId="0" applyFont="1" applyFill="1" applyBorder="1" applyAlignment="1">
      <alignment horizontal="center" vertical="center" shrinkToFit="1"/>
    </xf>
    <xf numFmtId="184" fontId="7" fillId="0" borderId="0" xfId="0" applyNumberFormat="1" applyFont="1" applyAlignment="1">
      <alignment vertical="center" shrinkToFit="1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183" fontId="5" fillId="0" borderId="9" xfId="1" applyNumberFormat="1" applyFont="1" applyFill="1" applyBorder="1" applyAlignment="1" applyProtection="1">
      <alignment horizontal="right" vertical="center"/>
      <protection locked="0"/>
    </xf>
    <xf numFmtId="38" fontId="5" fillId="6" borderId="23" xfId="1" applyFont="1" applyFill="1" applyBorder="1" applyAlignment="1" applyProtection="1">
      <alignment horizontal="center" vertical="center"/>
      <protection locked="0"/>
    </xf>
    <xf numFmtId="38" fontId="5" fillId="6" borderId="58" xfId="1" applyFont="1" applyFill="1" applyBorder="1" applyAlignment="1" applyProtection="1">
      <alignment vertical="center"/>
      <protection locked="0"/>
    </xf>
    <xf numFmtId="182" fontId="5" fillId="6" borderId="57" xfId="1" applyNumberFormat="1" applyFont="1" applyFill="1" applyBorder="1" applyAlignment="1" applyProtection="1">
      <alignment horizontal="right" vertical="center"/>
      <protection locked="0"/>
    </xf>
    <xf numFmtId="183" fontId="5" fillId="6" borderId="57" xfId="1" applyNumberFormat="1" applyFont="1" applyFill="1" applyBorder="1" applyAlignment="1" applyProtection="1">
      <alignment horizontal="right" vertical="center"/>
      <protection locked="0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vertical="center"/>
      <protection locked="0"/>
    </xf>
    <xf numFmtId="183" fontId="5" fillId="6" borderId="14" xfId="2" applyNumberFormat="1" applyFont="1" applyFill="1" applyBorder="1" applyAlignment="1" applyProtection="1">
      <alignment horizontal="right" vertical="center"/>
      <protection locked="0"/>
    </xf>
    <xf numFmtId="38" fontId="5" fillId="0" borderId="11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 shrinkToFit="1"/>
    </xf>
    <xf numFmtId="0" fontId="8" fillId="4" borderId="35" xfId="0" applyFont="1" applyFill="1" applyBorder="1" applyAlignment="1">
      <alignment horizontal="center" vertical="center" shrinkToFit="1"/>
    </xf>
    <xf numFmtId="0" fontId="8" fillId="4" borderId="31" xfId="0" applyFont="1" applyFill="1" applyBorder="1" applyAlignment="1">
      <alignment horizontal="center" vertical="center" shrinkToFit="1"/>
    </xf>
    <xf numFmtId="0" fontId="8" fillId="4" borderId="34" xfId="0" applyFont="1" applyFill="1" applyBorder="1" applyAlignment="1">
      <alignment horizontal="center" vertical="center" shrinkToFit="1"/>
    </xf>
    <xf numFmtId="0" fontId="8" fillId="4" borderId="32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</cellXfs>
  <cellStyles count="5">
    <cellStyle name="パーセント" xfId="4" builtinId="5"/>
    <cellStyle name="桁区切り" xfId="2" builtinId="6"/>
    <cellStyle name="桁区切り 4" xfId="1" xr:uid="{00000000-0005-0000-0000-000002000000}"/>
    <cellStyle name="標準" xfId="0" builtinId="0"/>
    <cellStyle name="標準 2" xfId="3" xr:uid="{00000000-0005-0000-0000-000004000000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ABF"/>
      <color rgb="FFBFE4FF"/>
      <color rgb="FF0000FF"/>
      <color rgb="FF0041FF"/>
      <color rgb="FFFF4B00"/>
      <color rgb="FF03AF7A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市町村内総生産・対前年度増加率（名目）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218741274361975E-2"/>
          <c:y val="0.12609132691614144"/>
          <c:w val="0.86134266260815351"/>
          <c:h val="0.72072603427845228"/>
        </c:manualLayout>
      </c:layout>
      <c:barChart>
        <c:barDir val="col"/>
        <c:grouping val="stacked"/>
        <c:varyColors val="0"/>
        <c:ser>
          <c:idx val="21"/>
          <c:order val="0"/>
          <c:tx>
            <c:strRef>
              <c:f>地域分析BD!$B$27</c:f>
              <c:strCache>
                <c:ptCount val="1"/>
                <c:pt idx="0">
                  <c:v>第１次産業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地域分析BD!$R$28:$AC$28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地域分析BD!$C$27:$N$27</c:f>
              <c:numCache>
                <c:formatCode>#,##0;"△ "#,##0</c:formatCode>
                <c:ptCount val="12"/>
                <c:pt idx="0">
                  <c:v>1786</c:v>
                </c:pt>
                <c:pt idx="1">
                  <c:v>2041</c:v>
                </c:pt>
                <c:pt idx="2">
                  <c:v>2038</c:v>
                </c:pt>
                <c:pt idx="3">
                  <c:v>2026</c:v>
                </c:pt>
                <c:pt idx="4">
                  <c:v>2600</c:v>
                </c:pt>
                <c:pt idx="5">
                  <c:v>2618</c:v>
                </c:pt>
                <c:pt idx="6">
                  <c:v>2840</c:v>
                </c:pt>
                <c:pt idx="7">
                  <c:v>2789</c:v>
                </c:pt>
                <c:pt idx="8">
                  <c:v>2587</c:v>
                </c:pt>
                <c:pt idx="9">
                  <c:v>1947</c:v>
                </c:pt>
                <c:pt idx="10">
                  <c:v>2151</c:v>
                </c:pt>
                <c:pt idx="11">
                  <c:v>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B-417E-AC75-D2384D173084}"/>
            </c:ext>
          </c:extLst>
        </c:ser>
        <c:ser>
          <c:idx val="22"/>
          <c:order val="1"/>
          <c:tx>
            <c:strRef>
              <c:f>地域分析BD!$B$28</c:f>
              <c:strCache>
                <c:ptCount val="1"/>
                <c:pt idx="0">
                  <c:v>第２次産業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地域分析BD!$R$28:$AC$28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地域分析BD!$C$28:$N$28</c:f>
              <c:numCache>
                <c:formatCode>#,##0;"△ "#,##0</c:formatCode>
                <c:ptCount val="12"/>
                <c:pt idx="0">
                  <c:v>60413</c:v>
                </c:pt>
                <c:pt idx="1">
                  <c:v>63333</c:v>
                </c:pt>
                <c:pt idx="2">
                  <c:v>67286</c:v>
                </c:pt>
                <c:pt idx="3">
                  <c:v>93511</c:v>
                </c:pt>
                <c:pt idx="4">
                  <c:v>101788</c:v>
                </c:pt>
                <c:pt idx="5">
                  <c:v>112259</c:v>
                </c:pt>
                <c:pt idx="6">
                  <c:v>112077</c:v>
                </c:pt>
                <c:pt idx="7">
                  <c:v>105898</c:v>
                </c:pt>
                <c:pt idx="8">
                  <c:v>98886</c:v>
                </c:pt>
                <c:pt idx="9">
                  <c:v>85052</c:v>
                </c:pt>
                <c:pt idx="10">
                  <c:v>111457</c:v>
                </c:pt>
                <c:pt idx="11">
                  <c:v>79485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B-417E-AC75-D2384D173084}"/>
            </c:ext>
          </c:extLst>
        </c:ser>
        <c:ser>
          <c:idx val="23"/>
          <c:order val="2"/>
          <c:tx>
            <c:strRef>
              <c:f>地域分析BD!$B$29</c:f>
              <c:strCache>
                <c:ptCount val="1"/>
                <c:pt idx="0">
                  <c:v>第３次産業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地域分析BD!$R$28:$AC$28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地域分析BD!$C$29:$N$29</c:f>
              <c:numCache>
                <c:formatCode>#,##0;"△ "#,##0</c:formatCode>
                <c:ptCount val="12"/>
                <c:pt idx="0">
                  <c:v>1165784</c:v>
                </c:pt>
                <c:pt idx="1">
                  <c:v>1153346</c:v>
                </c:pt>
                <c:pt idx="2">
                  <c:v>1174921</c:v>
                </c:pt>
                <c:pt idx="3">
                  <c:v>1183531</c:v>
                </c:pt>
                <c:pt idx="4">
                  <c:v>1223658</c:v>
                </c:pt>
                <c:pt idx="5">
                  <c:v>1262960</c:v>
                </c:pt>
                <c:pt idx="6">
                  <c:v>1278188</c:v>
                </c:pt>
                <c:pt idx="7">
                  <c:v>1296547</c:v>
                </c:pt>
                <c:pt idx="8">
                  <c:v>1293380</c:v>
                </c:pt>
                <c:pt idx="9">
                  <c:v>1177247</c:v>
                </c:pt>
                <c:pt idx="10">
                  <c:v>1217325</c:v>
                </c:pt>
                <c:pt idx="11">
                  <c:v>1322110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6B-417E-AC75-D2384D173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34007296"/>
        <c:axId val="534006968"/>
      </c:barChart>
      <c:lineChart>
        <c:grouping val="standard"/>
        <c:varyColors val="0"/>
        <c:ser>
          <c:idx val="0"/>
          <c:order val="3"/>
          <c:tx>
            <c:strRef>
              <c:f>地域分析BD!$A$35</c:f>
              <c:strCache>
                <c:ptCount val="1"/>
                <c:pt idx="0">
                  <c:v>対前年度増加率（％）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地域分析BD!$C$4:$N$4</c:f>
              <c:numCache>
                <c:formatCode>#,##0_);[Red]\(#,##0\)</c:formatCode>
                <c:ptCount val="12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numCache>
            </c:numRef>
          </c:cat>
          <c:val>
            <c:numRef>
              <c:f>地域分析BD!$C$58:$N$58</c:f>
              <c:numCache>
                <c:formatCode>#,##0.0;"△ "#,##0.0</c:formatCode>
                <c:ptCount val="12"/>
                <c:pt idx="1">
                  <c:v>-0.76100000000000001</c:v>
                </c:pt>
                <c:pt idx="2">
                  <c:v>2.0459999999999998</c:v>
                </c:pt>
                <c:pt idx="3">
                  <c:v>2.665</c:v>
                </c:pt>
                <c:pt idx="4">
                  <c:v>3.4990000000000001</c:v>
                </c:pt>
                <c:pt idx="5">
                  <c:v>3.609</c:v>
                </c:pt>
                <c:pt idx="6">
                  <c:v>1.0820000000000001</c:v>
                </c:pt>
                <c:pt idx="7">
                  <c:v>0.83899999999999997</c:v>
                </c:pt>
                <c:pt idx="8">
                  <c:v>-0.88800000000000001</c:v>
                </c:pt>
                <c:pt idx="9">
                  <c:v>-9.3209999999999997</c:v>
                </c:pt>
                <c:pt idx="10">
                  <c:v>5.1749999999999998</c:v>
                </c:pt>
                <c:pt idx="11">
                  <c:v>5.5549999999999997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6B-417E-AC75-D2384D173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112984"/>
        <c:axId val="539110360"/>
      </c:lineChart>
      <c:catAx>
        <c:axId val="53400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34006968"/>
        <c:crosses val="autoZero"/>
        <c:auto val="1"/>
        <c:lblAlgn val="ctr"/>
        <c:lblOffset val="100"/>
        <c:noMultiLvlLbl val="0"/>
      </c:catAx>
      <c:valAx>
        <c:axId val="534006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34007296"/>
        <c:crosses val="autoZero"/>
        <c:crossBetween val="between"/>
      </c:valAx>
      <c:valAx>
        <c:axId val="539110360"/>
        <c:scaling>
          <c:orientation val="minMax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39112984"/>
        <c:crosses val="max"/>
        <c:crossBetween val="between"/>
      </c:valAx>
      <c:catAx>
        <c:axId val="539112984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53911036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経済活動別対前年度増加率（％）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700141077094779"/>
          <c:y val="0.12613099835278235"/>
          <c:w val="0.64289834071276142"/>
          <c:h val="0.763285487121740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1"/>
          <c:cat>
            <c:strRef>
              <c:f>地域分析BD!$Q$6:$Q$23</c:f>
              <c:strCache>
                <c:ptCount val="18"/>
                <c:pt idx="0">
                  <c:v>その他のサービス</c:v>
                </c:pt>
                <c:pt idx="1">
                  <c:v>保健衛生・社会事業</c:v>
                </c:pt>
                <c:pt idx="2">
                  <c:v>教育</c:v>
                </c:pt>
                <c:pt idx="3">
                  <c:v>公務</c:v>
                </c:pt>
                <c:pt idx="4">
                  <c:v>専門・科学技術、業務支援</c:v>
                </c:pt>
                <c:pt idx="5">
                  <c:v>不動産業</c:v>
                </c:pt>
                <c:pt idx="6">
                  <c:v>金融・保険業</c:v>
                </c:pt>
                <c:pt idx="7">
                  <c:v>情報通信業</c:v>
                </c:pt>
                <c:pt idx="8">
                  <c:v>宿泊・飲食サービス業</c:v>
                </c:pt>
                <c:pt idx="9">
                  <c:v>運輸・郵便業</c:v>
                </c:pt>
                <c:pt idx="10">
                  <c:v>卸売・小売業</c:v>
                </c:pt>
                <c:pt idx="11">
                  <c:v>電気・ガス・水道・廃棄物</c:v>
                </c:pt>
                <c:pt idx="12">
                  <c:v>建設業</c:v>
                </c:pt>
                <c:pt idx="13">
                  <c:v>製造業</c:v>
                </c:pt>
                <c:pt idx="14">
                  <c:v>鉱業</c:v>
                </c:pt>
                <c:pt idx="15">
                  <c:v>水産業</c:v>
                </c:pt>
                <c:pt idx="16">
                  <c:v>林業</c:v>
                </c:pt>
                <c:pt idx="17">
                  <c:v>農業</c:v>
                </c:pt>
              </c:strCache>
            </c:strRef>
          </c:cat>
          <c:val>
            <c:numRef>
              <c:f>地域分析BD!$R$6:$R$23</c:f>
              <c:numCache>
                <c:formatCode>#,##0.0;"△ "#,##0.0</c:formatCode>
                <c:ptCount val="18"/>
                <c:pt idx="0">
                  <c:v>5.8289999999999997</c:v>
                </c:pt>
                <c:pt idx="1">
                  <c:v>2.4830000000000001</c:v>
                </c:pt>
                <c:pt idx="2">
                  <c:v>3.4089999999999998</c:v>
                </c:pt>
                <c:pt idx="3">
                  <c:v>1.6990000000000001</c:v>
                </c:pt>
                <c:pt idx="4">
                  <c:v>7.16</c:v>
                </c:pt>
                <c:pt idx="5">
                  <c:v>1.411</c:v>
                </c:pt>
                <c:pt idx="6">
                  <c:v>12.755000000000001</c:v>
                </c:pt>
                <c:pt idx="7">
                  <c:v>-2.4860000000000002</c:v>
                </c:pt>
                <c:pt idx="8">
                  <c:v>55.12</c:v>
                </c:pt>
                <c:pt idx="9">
                  <c:v>66.460999999999999</c:v>
                </c:pt>
                <c:pt idx="10">
                  <c:v>4.6829999999999998</c:v>
                </c:pt>
                <c:pt idx="11">
                  <c:v>-19.827000000000002</c:v>
                </c:pt>
                <c:pt idx="12">
                  <c:v>-32.524999999999999</c:v>
                </c:pt>
                <c:pt idx="13">
                  <c:v>-3.1219999999999999</c:v>
                </c:pt>
                <c:pt idx="14">
                  <c:v>22.405000000000001</c:v>
                </c:pt>
                <c:pt idx="15">
                  <c:v>-12.071999999999999</c:v>
                </c:pt>
                <c:pt idx="16">
                  <c:v>-13.208</c:v>
                </c:pt>
                <c:pt idx="17">
                  <c:v>-14.510999999999999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0000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6970-463B-9380-6FFF9129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1312216"/>
        <c:axId val="601310904"/>
      </c:barChart>
      <c:catAx>
        <c:axId val="601312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01310904"/>
        <c:crosses val="autoZero"/>
        <c:auto val="1"/>
        <c:lblAlgn val="ctr"/>
        <c:lblOffset val="0"/>
        <c:noMultiLvlLbl val="0"/>
      </c:catAx>
      <c:valAx>
        <c:axId val="60131090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#,##0.0;&quot;▲ &quot;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01312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/>
              <a:t>市町村内総生産の特化係数</a:t>
            </a:r>
            <a:endParaRPr lang="en-US" altLang="ja-JP" sz="1400" b="0"/>
          </a:p>
        </c:rich>
      </c:tx>
      <c:layout>
        <c:manualLayout>
          <c:xMode val="edge"/>
          <c:yMode val="edge"/>
          <c:x val="0.29011899420073611"/>
          <c:y val="1.2546350603945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983280031974509"/>
          <c:y val="0.2151535715506239"/>
          <c:w val="0.50516874242358656"/>
          <c:h val="0.62073905208659608"/>
        </c:manualLayout>
      </c:layout>
      <c:radarChart>
        <c:radarStyle val="filled"/>
        <c:varyColors val="0"/>
        <c:ser>
          <c:idx val="1"/>
          <c:order val="0"/>
          <c:tx>
            <c:strRef>
              <c:f>地域分析BD!$B$130</c:f>
              <c:strCache>
                <c:ptCount val="1"/>
                <c:pt idx="0">
                  <c:v>沖 縄 県</c:v>
                </c:pt>
              </c:strCache>
            </c:strRef>
          </c:tx>
          <c:spPr>
            <a:noFill/>
            <a:ln w="38100">
              <a:solidFill>
                <a:srgbClr val="FF0000"/>
              </a:solidFill>
            </a:ln>
          </c:spPr>
          <c:cat>
            <c:strRef>
              <c:f>地域分析BD!$Q$170:$Q$187</c:f>
              <c:strCache>
                <c:ptCount val="18"/>
                <c:pt idx="0">
                  <c:v>農業</c:v>
                </c:pt>
                <c:pt idx="1">
                  <c:v>林業</c:v>
                </c:pt>
                <c:pt idx="2">
                  <c:v>水産業</c:v>
                </c:pt>
                <c:pt idx="3">
                  <c:v>鉱業</c:v>
                </c:pt>
                <c:pt idx="4">
                  <c:v>製造業</c:v>
                </c:pt>
                <c:pt idx="5">
                  <c:v>建設業</c:v>
                </c:pt>
                <c:pt idx="6">
                  <c:v>電気・ガス・
水道・廃棄物</c:v>
                </c:pt>
                <c:pt idx="7">
                  <c:v>卸売・小売業</c:v>
                </c:pt>
                <c:pt idx="8">
                  <c:v>運輸・郵便業</c:v>
                </c:pt>
                <c:pt idx="9">
                  <c:v>宿泊・飲食
サービス業</c:v>
                </c:pt>
                <c:pt idx="10">
                  <c:v>情報通信業</c:v>
                </c:pt>
                <c:pt idx="11">
                  <c:v>金融・保険業</c:v>
                </c:pt>
                <c:pt idx="12">
                  <c:v>不動産業</c:v>
                </c:pt>
                <c:pt idx="13">
                  <c:v>専門・科学技術、
業務支援</c:v>
                </c:pt>
                <c:pt idx="14">
                  <c:v>公務</c:v>
                </c:pt>
                <c:pt idx="15">
                  <c:v>教育</c:v>
                </c:pt>
                <c:pt idx="16">
                  <c:v>保健衛生・
社会事業</c:v>
                </c:pt>
                <c:pt idx="17">
                  <c:v>その他の
サービス</c:v>
                </c:pt>
              </c:strCache>
            </c:strRef>
          </c:cat>
          <c:val>
            <c:numRef>
              <c:f>地域分析BD!$V$170:$V$187</c:f>
              <c:numCache>
                <c:formatCode>#,##0.0;"△ "#,##0.0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5-4BCF-883B-8F3E804A291B}"/>
            </c:ext>
          </c:extLst>
        </c:ser>
        <c:ser>
          <c:idx val="0"/>
          <c:order val="1"/>
          <c:tx>
            <c:strRef>
              <c:f>地域分析BD!$B$2</c:f>
              <c:strCache>
                <c:ptCount val="1"/>
                <c:pt idx="0">
                  <c:v>那 覇 市</c:v>
                </c:pt>
              </c:strCache>
            </c:strRef>
          </c:tx>
          <c:spPr>
            <a:noFill/>
            <a:ln w="38100">
              <a:solidFill>
                <a:srgbClr val="0000FF"/>
              </a:solidFill>
            </a:ln>
          </c:spPr>
          <c:cat>
            <c:strRef>
              <c:f>地域分析BD!$Q$170:$Q$187</c:f>
              <c:strCache>
                <c:ptCount val="18"/>
                <c:pt idx="0">
                  <c:v>農業</c:v>
                </c:pt>
                <c:pt idx="1">
                  <c:v>林業</c:v>
                </c:pt>
                <c:pt idx="2">
                  <c:v>水産業</c:v>
                </c:pt>
                <c:pt idx="3">
                  <c:v>鉱業</c:v>
                </c:pt>
                <c:pt idx="4">
                  <c:v>製造業</c:v>
                </c:pt>
                <c:pt idx="5">
                  <c:v>建設業</c:v>
                </c:pt>
                <c:pt idx="6">
                  <c:v>電気・ガス・
水道・廃棄物</c:v>
                </c:pt>
                <c:pt idx="7">
                  <c:v>卸売・小売業</c:v>
                </c:pt>
                <c:pt idx="8">
                  <c:v>運輸・郵便業</c:v>
                </c:pt>
                <c:pt idx="9">
                  <c:v>宿泊・飲食
サービス業</c:v>
                </c:pt>
                <c:pt idx="10">
                  <c:v>情報通信業</c:v>
                </c:pt>
                <c:pt idx="11">
                  <c:v>金融・保険業</c:v>
                </c:pt>
                <c:pt idx="12">
                  <c:v>不動産業</c:v>
                </c:pt>
                <c:pt idx="13">
                  <c:v>専門・科学技術、
業務支援</c:v>
                </c:pt>
                <c:pt idx="14">
                  <c:v>公務</c:v>
                </c:pt>
                <c:pt idx="15">
                  <c:v>教育</c:v>
                </c:pt>
                <c:pt idx="16">
                  <c:v>保健衛生・
社会事業</c:v>
                </c:pt>
                <c:pt idx="17">
                  <c:v>その他の
サービス</c:v>
                </c:pt>
              </c:strCache>
            </c:strRef>
          </c:cat>
          <c:val>
            <c:numRef>
              <c:f>地域分析BD!$U$170:$U$187</c:f>
              <c:numCache>
                <c:formatCode>#,##0.0;"△ "#,##0.0</c:formatCode>
                <c:ptCount val="18"/>
                <c:pt idx="0">
                  <c:v>2.4264828090537156E-2</c:v>
                </c:pt>
                <c:pt idx="1">
                  <c:v>0.40449776398669984</c:v>
                </c:pt>
                <c:pt idx="2">
                  <c:v>0.62522963002194953</c:v>
                </c:pt>
                <c:pt idx="3">
                  <c:v>0.22141333546332204</c:v>
                </c:pt>
                <c:pt idx="4">
                  <c:v>0.23112179283154249</c:v>
                </c:pt>
                <c:pt idx="5">
                  <c:v>0.52772848346529755</c:v>
                </c:pt>
                <c:pt idx="6">
                  <c:v>0.97558340504221264</c:v>
                </c:pt>
                <c:pt idx="7">
                  <c:v>0.94407945837145912</c:v>
                </c:pt>
                <c:pt idx="8">
                  <c:v>1.4700645314280645</c:v>
                </c:pt>
                <c:pt idx="9">
                  <c:v>0.90873821157711854</c:v>
                </c:pt>
                <c:pt idx="10">
                  <c:v>1.7493995719202795</c:v>
                </c:pt>
                <c:pt idx="11">
                  <c:v>1.8984864780159023</c:v>
                </c:pt>
                <c:pt idx="12">
                  <c:v>0.85139946455748827</c:v>
                </c:pt>
                <c:pt idx="13">
                  <c:v>1.3500055925503143</c:v>
                </c:pt>
                <c:pt idx="14">
                  <c:v>1.484682043029675</c:v>
                </c:pt>
                <c:pt idx="15">
                  <c:v>0.55481963121660272</c:v>
                </c:pt>
                <c:pt idx="16">
                  <c:v>0.75146042272785851</c:v>
                </c:pt>
                <c:pt idx="17">
                  <c:v>0.80447983418551983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5-4BCF-883B-8F3E804A2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797576"/>
        <c:axId val="1"/>
      </c:radarChart>
      <c:catAx>
        <c:axId val="462797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;&quot;△ &quot;#,##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797576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地域経済に占めるシェア</a:t>
            </a:r>
          </a:p>
        </c:rich>
      </c:tx>
      <c:layout>
        <c:manualLayout>
          <c:xMode val="edge"/>
          <c:yMode val="edge"/>
          <c:x val="0.1123711936050248"/>
          <c:y val="3.7647049523656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1455661611761399E-2"/>
          <c:y val="0.19004349172925941"/>
          <c:w val="0.63288978334742541"/>
          <c:h val="0.7780825003964798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68-457C-BB74-F3AFC31404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68-457C-BB74-F3AFC31404C1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地域分析BD!$Q$135:$Q$136</c:f>
              <c:strCache>
                <c:ptCount val="2"/>
                <c:pt idx="0">
                  <c:v>那 覇 市</c:v>
                </c:pt>
                <c:pt idx="1">
                  <c:v>その他</c:v>
                </c:pt>
              </c:strCache>
            </c:strRef>
          </c:cat>
          <c:val>
            <c:numRef>
              <c:f>地域分析BD!$R$135:$R$136</c:f>
              <c:numCache>
                <c:formatCode>0.00%</c:formatCode>
                <c:ptCount val="2"/>
                <c:pt idx="0">
                  <c:v>1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68-457C-BB74-F3AFC31404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346676822813559"/>
          <c:y val="0.83085210292367384"/>
          <c:w val="0.35404443322799156"/>
          <c:h val="0.145890221796455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県経済に占めるシェア</a:t>
            </a:r>
          </a:p>
        </c:rich>
      </c:tx>
      <c:layout>
        <c:manualLayout>
          <c:xMode val="edge"/>
          <c:yMode val="edge"/>
          <c:x val="0.1123711936050248"/>
          <c:y val="3.7647049523656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1455661611761399E-2"/>
          <c:y val="0.19004349172925941"/>
          <c:w val="0.63288978334742541"/>
          <c:h val="0.7780825003964798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6B-447E-B355-99D87486D6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6B-447E-B355-99D87486D6EF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地域分析BD!$Q$130:$Q$131</c:f>
              <c:strCache>
                <c:ptCount val="2"/>
                <c:pt idx="0">
                  <c:v>那 覇 市</c:v>
                </c:pt>
                <c:pt idx="1">
                  <c:v>その他</c:v>
                </c:pt>
              </c:strCache>
            </c:strRef>
          </c:cat>
          <c:val>
            <c:numRef>
              <c:f>地域分析BD!$R$130:$R$131</c:f>
              <c:numCache>
                <c:formatCode>0.00%</c:formatCode>
                <c:ptCount val="2"/>
                <c:pt idx="0">
                  <c:v>0.31242107528134966</c:v>
                </c:pt>
                <c:pt idx="1">
                  <c:v>0.68757892471865034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6B-447E-B355-99D87486D6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295977187020778"/>
          <c:y val="0.84967562768550187"/>
          <c:w val="0.35404443322799156"/>
          <c:h val="0.145890221796455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経済活動別構成比（％）</a:t>
            </a:r>
          </a:p>
        </c:rich>
      </c:tx>
      <c:layout>
        <c:manualLayout>
          <c:xMode val="edge"/>
          <c:yMode val="edge"/>
          <c:x val="0.32680394176865019"/>
          <c:y val="2.5107560949130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312437497443324E-2"/>
          <c:y val="0.1869443669356507"/>
          <c:w val="0.5462784378473271"/>
          <c:h val="0.7809753913986703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C7-47FD-9ED9-99DD85707D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C7-47FD-9ED9-99DD85707D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C7-47FD-9ED9-99DD85707D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C7-47FD-9ED9-99DD85707D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AC7-47FD-9ED9-99DD85707D4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AC7-47FD-9ED9-99DD85707D4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AC7-47FD-9ED9-99DD85707D4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AC7-47FD-9ED9-99DD85707D4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AC7-47FD-9ED9-99DD85707D4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AC7-47FD-9ED9-99DD85707D4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AC7-47FD-9ED9-99DD85707D44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地域分析BD!$T$68:$T$78</c:f>
              <c:strCache>
                <c:ptCount val="11"/>
                <c:pt idx="0">
                  <c:v>公務
14.7％</c:v>
                </c:pt>
                <c:pt idx="1">
                  <c:v>専門・科学、業務支援
14.6％</c:v>
                </c:pt>
                <c:pt idx="2">
                  <c:v>不動産業
10.7％</c:v>
                </c:pt>
                <c:pt idx="3">
                  <c:v>保健衛生・社会事業
9.5％</c:v>
                </c:pt>
                <c:pt idx="4">
                  <c:v>運輸・郵便業
9.4％</c:v>
                </c:pt>
                <c:pt idx="5">
                  <c:v>卸売・小売業
8.9％</c:v>
                </c:pt>
                <c:pt idx="6">
                  <c:v>金融・保険業
7.5％</c:v>
                </c:pt>
                <c:pt idx="7">
                  <c:v>情報通信業
6.6％</c:v>
                </c:pt>
                <c:pt idx="8">
                  <c:v>建設業
4.7％</c:v>
                </c:pt>
                <c:pt idx="9">
                  <c:v>その他のサービス
4.3％</c:v>
                </c:pt>
                <c:pt idx="10">
                  <c:v>その他
9.7％</c:v>
                </c:pt>
              </c:strCache>
            </c:strRef>
          </c:cat>
          <c:val>
            <c:numRef>
              <c:f>地域分析BD!$U$68:$U$78</c:f>
              <c:numCache>
                <c:formatCode>0.0</c:formatCode>
                <c:ptCount val="11"/>
                <c:pt idx="0">
                  <c:v>14.68322863726759</c:v>
                </c:pt>
                <c:pt idx="1">
                  <c:v>14.6302827511199</c:v>
                </c:pt>
                <c:pt idx="2">
                  <c:v>10.71903096114719</c:v>
                </c:pt>
                <c:pt idx="3">
                  <c:v>9.4532799187302174</c:v>
                </c:pt>
                <c:pt idx="4">
                  <c:v>9.4032754707018409</c:v>
                </c:pt>
                <c:pt idx="5">
                  <c:v>8.9168620451173553</c:v>
                </c:pt>
                <c:pt idx="6">
                  <c:v>7.4792162287032715</c:v>
                </c:pt>
                <c:pt idx="7">
                  <c:v>6.596856535301562</c:v>
                </c:pt>
                <c:pt idx="8">
                  <c:v>4.7164166683406563</c:v>
                </c:pt>
                <c:pt idx="9">
                  <c:v>4.347804252315127</c:v>
                </c:pt>
                <c:pt idx="10">
                  <c:v>9.7426169903205277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AC7-47FD-9ED9-99DD85707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7025269392140707"/>
          <c:y val="0.11214811544236937"/>
          <c:w val="0.32691414447130507"/>
          <c:h val="0.87850834689170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（参考）就業者１人当たり市町村内総生産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0503994787652572E-2"/>
          <c:y val="0.14398114361639772"/>
          <c:w val="0.82143289583185197"/>
          <c:h val="0.699347879443318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地域分析BD!$Q$29</c:f>
              <c:strCache>
                <c:ptCount val="1"/>
                <c:pt idx="0">
                  <c:v>那 覇 市</c:v>
                </c:pt>
              </c:strCache>
            </c:strRef>
          </c:tx>
          <c:spPr>
            <a:solidFill>
              <a:srgbClr val="FFCABF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地域分析BD!$R$28:$AC$28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地域分析BD!$R$29:$AC$29</c:f>
              <c:numCache>
                <c:formatCode>#,##0;"△ "#,##0</c:formatCode>
                <c:ptCount val="12"/>
                <c:pt idx="0">
                  <c:v>7303</c:v>
                </c:pt>
                <c:pt idx="1">
                  <c:v>7111</c:v>
                </c:pt>
                <c:pt idx="2">
                  <c:v>7225</c:v>
                </c:pt>
                <c:pt idx="3">
                  <c:v>7259</c:v>
                </c:pt>
                <c:pt idx="4">
                  <c:v>7417</c:v>
                </c:pt>
                <c:pt idx="5">
                  <c:v>7429</c:v>
                </c:pt>
                <c:pt idx="6">
                  <c:v>7410</c:v>
                </c:pt>
                <c:pt idx="7">
                  <c:v>7375</c:v>
                </c:pt>
                <c:pt idx="8">
                  <c:v>7104</c:v>
                </c:pt>
                <c:pt idx="9">
                  <c:v>6474</c:v>
                </c:pt>
                <c:pt idx="10">
                  <c:v>6739</c:v>
                </c:pt>
                <c:pt idx="11">
                  <c:v>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2-4B05-8060-39381919D5AF}"/>
            </c:ext>
          </c:extLst>
        </c:ser>
        <c:ser>
          <c:idx val="1"/>
          <c:order val="1"/>
          <c:tx>
            <c:strRef>
              <c:f>地域分析BD!$Q$30</c:f>
              <c:strCache>
                <c:ptCount val="1"/>
                <c:pt idx="0">
                  <c:v>沖 縄 県</c:v>
                </c:pt>
              </c:strCache>
            </c:strRef>
          </c:tx>
          <c:spPr>
            <a:solidFill>
              <a:srgbClr val="BFE4FF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地域分析BD!$R$28:$AC$28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地域分析BD!$R$30:$AC$30</c:f>
              <c:numCache>
                <c:formatCode>#,##0;"△ "#,##0</c:formatCode>
                <c:ptCount val="12"/>
                <c:pt idx="0">
                  <c:v>5878</c:v>
                </c:pt>
                <c:pt idx="1">
                  <c:v>5785</c:v>
                </c:pt>
                <c:pt idx="2">
                  <c:v>5923</c:v>
                </c:pt>
                <c:pt idx="3">
                  <c:v>5899</c:v>
                </c:pt>
                <c:pt idx="4">
                  <c:v>6094</c:v>
                </c:pt>
                <c:pt idx="5">
                  <c:v>6128</c:v>
                </c:pt>
                <c:pt idx="6">
                  <c:v>6180</c:v>
                </c:pt>
                <c:pt idx="7">
                  <c:v>6177</c:v>
                </c:pt>
                <c:pt idx="8">
                  <c:v>6047</c:v>
                </c:pt>
                <c:pt idx="9">
                  <c:v>5733</c:v>
                </c:pt>
                <c:pt idx="10">
                  <c:v>5913</c:v>
                </c:pt>
                <c:pt idx="11">
                  <c:v>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2-4B05-8060-39381919D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75679408"/>
        <c:axId val="178087968"/>
      </c:barChart>
      <c:lineChart>
        <c:grouping val="standard"/>
        <c:varyColors val="0"/>
        <c:ser>
          <c:idx val="2"/>
          <c:order val="2"/>
          <c:tx>
            <c:strRef>
              <c:f>地域分析BD!$Q$31</c:f>
              <c:strCache>
                <c:ptCount val="1"/>
                <c:pt idx="0">
                  <c:v>水準（県平均＝100）</c:v>
                </c:pt>
              </c:strCache>
            </c:strRef>
          </c:tx>
          <c:spPr>
            <a:ln w="25400" cap="rnd">
              <a:solidFill>
                <a:srgbClr val="0041FF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41FF"/>
              </a:solidFill>
              <a:ln w="9525">
                <a:noFill/>
              </a:ln>
              <a:effectLst/>
            </c:spPr>
          </c:marker>
          <c:cat>
            <c:strRef>
              <c:f>地域分析BD!$R$28:$AC$28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地域分析BD!$R$31:$AC$31</c:f>
              <c:numCache>
                <c:formatCode>0.0</c:formatCode>
                <c:ptCount val="12"/>
                <c:pt idx="0">
                  <c:v>124.24293977543381</c:v>
                </c:pt>
                <c:pt idx="1">
                  <c:v>122.92134831460675</c:v>
                </c:pt>
                <c:pt idx="2">
                  <c:v>121.98210366368394</c:v>
                </c:pt>
                <c:pt idx="3">
                  <c:v>123.05475504322767</c:v>
                </c:pt>
                <c:pt idx="4">
                  <c:v>121.70987856908435</c:v>
                </c:pt>
                <c:pt idx="5">
                  <c:v>121.2304177545692</c:v>
                </c:pt>
                <c:pt idx="6">
                  <c:v>119.90291262135922</c:v>
                </c:pt>
                <c:pt idx="7">
                  <c:v>119.39452808806865</c:v>
                </c:pt>
                <c:pt idx="8">
                  <c:v>117.47974202083678</c:v>
                </c:pt>
                <c:pt idx="9">
                  <c:v>112.9251700680272</c:v>
                </c:pt>
                <c:pt idx="10">
                  <c:v>113.96922036191444</c:v>
                </c:pt>
                <c:pt idx="11">
                  <c:v>117.64126149802891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52-4B05-8060-39381919D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31184"/>
        <c:axId val="247819088"/>
      </c:lineChart>
      <c:catAx>
        <c:axId val="1756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78087968"/>
        <c:crosses val="autoZero"/>
        <c:auto val="1"/>
        <c:lblAlgn val="ctr"/>
        <c:lblOffset val="100"/>
        <c:noMultiLvlLbl val="0"/>
      </c:catAx>
      <c:valAx>
        <c:axId val="1780879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3226562214709504E-3"/>
              <c:y val="5.26655683729394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75679408"/>
        <c:crosses val="autoZero"/>
        <c:crossBetween val="between"/>
      </c:valAx>
      <c:valAx>
        <c:axId val="2478190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（県＝</a:t>
                </a:r>
                <a:r>
                  <a:rPr lang="en-US" altLang="ja-JP"/>
                  <a:t>100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90724635452803482"/>
              <c:y val="6.02038481434315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52631184"/>
        <c:crosses val="max"/>
        <c:crossBetween val="between"/>
      </c:valAx>
      <c:catAx>
        <c:axId val="25263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81908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</xdr:colOff>
      <xdr:row>34</xdr:row>
      <xdr:rowOff>154780</xdr:rowOff>
    </xdr:from>
    <xdr:to>
      <xdr:col>4</xdr:col>
      <xdr:colOff>321470</xdr:colOff>
      <xdr:row>52</xdr:row>
      <xdr:rowOff>23811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23814" y="7094423"/>
          <a:ext cx="5046549" cy="3542959"/>
          <a:chOff x="23814" y="6369843"/>
          <a:chExt cx="4869656" cy="3726656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aphicFramePr>
            <a:graphicFrameLocks/>
          </xdr:cNvGraphicFramePr>
        </xdr:nvGraphicFramePr>
        <xdr:xfrm>
          <a:off x="59533" y="6369843"/>
          <a:ext cx="4726780" cy="37266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23814" y="6500813"/>
            <a:ext cx="773906" cy="2143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（百万円）</a:t>
            </a:r>
            <a:endPara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4119564" y="6488907"/>
            <a:ext cx="773906" cy="2143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（％）</a:t>
            </a:r>
            <a:endPara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4</xdr:col>
      <xdr:colOff>333374</xdr:colOff>
      <xdr:row>34</xdr:row>
      <xdr:rowOff>166686</xdr:rowOff>
    </xdr:from>
    <xdr:to>
      <xdr:col>10</xdr:col>
      <xdr:colOff>654843</xdr:colOff>
      <xdr:row>52</xdr:row>
      <xdr:rowOff>23810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5082267" y="7106329"/>
          <a:ext cx="4784612" cy="3531052"/>
          <a:chOff x="4905374" y="6381749"/>
          <a:chExt cx="4750594" cy="3714749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>
            <a:graphicFrameLocks/>
          </xdr:cNvGraphicFramePr>
        </xdr:nvGraphicFramePr>
        <xdr:xfrm>
          <a:off x="4905374" y="6381749"/>
          <a:ext cx="4750594" cy="37147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E$2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8763001" y="6465094"/>
            <a:ext cx="833435" cy="21431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/>
          <a:lstStyle/>
          <a:p>
            <a:pPr algn="ctr"/>
            <a:fld id="{83E1AF4F-9A2F-4D13-BB35-5C23002142DA}" type="TxLink">
              <a:rPr kumimoji="1" lang="ja-JP" altLang="en-US" sz="1100" b="1" i="0" u="none" strike="noStrike">
                <a:solidFill>
                  <a:sysClr val="windowText" lastClr="000000"/>
                </a:solidFill>
                <a:latin typeface="ＭＳ ゴシック"/>
                <a:ea typeface="ＭＳ ゴシック"/>
              </a:rPr>
              <a:pPr algn="ctr"/>
              <a:t>令和４年度</a:t>
            </a:fld>
            <a:endPara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4</xdr:col>
      <xdr:colOff>333375</xdr:colOff>
      <xdr:row>52</xdr:row>
      <xdr:rowOff>83343</xdr:rowOff>
    </xdr:from>
    <xdr:to>
      <xdr:col>10</xdr:col>
      <xdr:colOff>666751</xdr:colOff>
      <xdr:row>78</xdr:row>
      <xdr:rowOff>130968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5082268" y="10696914"/>
          <a:ext cx="4796519" cy="5354411"/>
          <a:chOff x="4905375" y="10156031"/>
          <a:chExt cx="4762501" cy="5619750"/>
        </a:xfrm>
      </xdr:grpSpPr>
      <xdr:grpSp>
        <xdr:nvGrpSpPr>
          <xdr:cNvPr id="26" name="グループ化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GrpSpPr/>
        </xdr:nvGrpSpPr>
        <xdr:grpSpPr>
          <a:xfrm>
            <a:off x="4905375" y="10156031"/>
            <a:ext cx="4762501" cy="5483896"/>
            <a:chOff x="4905375" y="10156031"/>
            <a:chExt cx="4762501" cy="5483896"/>
          </a:xfrm>
        </xdr:grpSpPr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4905375" y="10156031"/>
              <a:ext cx="4762501" cy="3917155"/>
              <a:chOff x="4905375" y="10156031"/>
              <a:chExt cx="4762501" cy="4095749"/>
            </a:xfrm>
          </xdr:grpSpPr>
          <xdr:graphicFrame macro="">
            <xdr:nvGraphicFramePr>
              <xdr:cNvPr id="16" name="グラフ 1036">
                <a:extLst>
                  <a:ext uri="{FF2B5EF4-FFF2-40B4-BE49-F238E27FC236}">
                    <a16:creationId xmlns:a16="http://schemas.microsoft.com/office/drawing/2014/main" id="{00000000-0008-0000-0100-000010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4905375" y="10156031"/>
              <a:ext cx="4762501" cy="409574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sp macro="" textlink="$E$2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SpPr/>
            </xdr:nvSpPr>
            <xdr:spPr>
              <a:xfrm>
                <a:off x="8715375" y="10240425"/>
                <a:ext cx="833435" cy="214312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wrap="none" rtlCol="0" anchor="ctr"/>
              <a:lstStyle/>
              <a:p>
                <a:pPr algn="ctr"/>
                <a:fld id="{83E1AF4F-9A2F-4D13-BB35-5C23002142DA}" type="TxLink">
                  <a:rPr kumimoji="1" lang="ja-JP" altLang="en-US" sz="1100" b="1" i="0" u="none" strike="noStrike">
                    <a:solidFill>
                      <a:sysClr val="windowText" lastClr="000000"/>
                    </a:solidFill>
                    <a:latin typeface="ＭＳ ゴシック"/>
                    <a:ea typeface="ＭＳ ゴシック"/>
                  </a:rPr>
                  <a:pPr algn="ctr"/>
                  <a:t>令和４年度</a:t>
                </a:fld>
                <a:endParaRPr kumimoji="1" lang="en-US" altLang="ja-JP" sz="9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</xdr:grpSp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20" name="図 19">
                  <a:extLst>
                    <a:ext uri="{FF2B5EF4-FFF2-40B4-BE49-F238E27FC236}">
                      <a16:creationId xmlns:a16="http://schemas.microsoft.com/office/drawing/2014/main" id="{00000000-0008-0000-0100-000014000000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地域分析BD!$X$170:$AC$178" spid="_x0000_s1291"/>
                    </a:ext>
                  </a:extLst>
                </xdr:cNvPicPr>
              </xdr:nvPicPr>
              <xdr:blipFill>
                <a:blip xmlns:r="http://schemas.openxmlformats.org/officeDocument/2006/relationships" r:embed="rId4"/>
                <a:srcRect/>
                <a:stretch>
                  <a:fillRect/>
                </a:stretch>
              </xdr:blipFill>
              <xdr:spPr bwMode="auto">
                <a:xfrm>
                  <a:off x="5167314" y="14168438"/>
                  <a:ext cx="4345779" cy="1471489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</a:extLst>
              </xdr:spPr>
            </xdr:pic>
          </mc:Choice>
          <mc:Fallback xmlns=""/>
        </mc:AlternateContent>
      </xdr:grp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4917281" y="10179844"/>
            <a:ext cx="4738688" cy="5595937"/>
          </a:xfrm>
          <a:prstGeom prst="rect">
            <a:avLst/>
          </a:prstGeom>
          <a:noFill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59529</xdr:colOff>
      <xdr:row>52</xdr:row>
      <xdr:rowOff>83342</xdr:rowOff>
    </xdr:from>
    <xdr:to>
      <xdr:col>4</xdr:col>
      <xdr:colOff>333374</xdr:colOff>
      <xdr:row>78</xdr:row>
      <xdr:rowOff>142874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pSpPr/>
      </xdr:nvGrpSpPr>
      <xdr:grpSpPr>
        <a:xfrm>
          <a:off x="59529" y="10696913"/>
          <a:ext cx="5022738" cy="5366318"/>
          <a:chOff x="59529" y="10156030"/>
          <a:chExt cx="4845845" cy="5631657"/>
        </a:xfrm>
      </xdr:grpSpPr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59529" y="10156030"/>
            <a:ext cx="4845845" cy="5619752"/>
            <a:chOff x="59529" y="10156030"/>
            <a:chExt cx="4845845" cy="5619752"/>
          </a:xfrm>
        </xdr:grpSpPr>
        <xdr:graphicFrame macro="">
          <xdr:nvGraphicFramePr>
            <xdr:cNvPr id="24" name="グラフ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GraphicFramePr>
              <a:graphicFrameLocks/>
            </xdr:cNvGraphicFramePr>
          </xdr:nvGraphicFramePr>
          <xdr:xfrm>
            <a:off x="2321717" y="13751719"/>
            <a:ext cx="2583657" cy="20240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8" name="グラフ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aphicFramePr>
              <a:graphicFrameLocks/>
            </xdr:cNvGraphicFramePr>
          </xdr:nvGraphicFramePr>
          <xdr:xfrm>
            <a:off x="59529" y="13739811"/>
            <a:ext cx="2357440" cy="20240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GrpSpPr/>
          </xdr:nvGrpSpPr>
          <xdr:grpSpPr>
            <a:xfrm>
              <a:off x="59532" y="10156030"/>
              <a:ext cx="4714874" cy="3429001"/>
              <a:chOff x="59532" y="10156030"/>
              <a:chExt cx="4595812" cy="3214689"/>
            </a:xfrm>
          </xdr:grpSpPr>
          <xdr:graphicFrame macro="">
            <xdr:nvGraphicFramePr>
              <xdr:cNvPr id="10" name="グラフ 9">
                <a:extLst>
                  <a:ext uri="{FF2B5EF4-FFF2-40B4-BE49-F238E27FC236}">
                    <a16:creationId xmlns:a16="http://schemas.microsoft.com/office/drawing/2014/main" id="{00000000-0008-0000-0100-00000A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9532" y="10156030"/>
              <a:ext cx="4595812" cy="321468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7"/>
              </a:graphicData>
            </a:graphic>
          </xdr:graphicFrame>
          <xdr:sp macro="" textlink="$E$2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00000000-0008-0000-0100-00000E000000}"/>
                  </a:ext>
                </a:extLst>
              </xdr:cNvPr>
              <xdr:cNvSpPr/>
            </xdr:nvSpPr>
            <xdr:spPr>
              <a:xfrm>
                <a:off x="3721546" y="10252769"/>
                <a:ext cx="833435" cy="214312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wrap="none" rtlCol="0" anchor="ctr"/>
              <a:lstStyle/>
              <a:p>
                <a:pPr algn="ctr"/>
                <a:fld id="{83E1AF4F-9A2F-4D13-BB35-5C23002142DA}" type="TxLink">
                  <a:rPr kumimoji="1" lang="ja-JP" altLang="en-US" sz="1100" b="1" i="0" u="none" strike="noStrike">
                    <a:solidFill>
                      <a:sysClr val="windowText" lastClr="000000"/>
                    </a:solidFill>
                    <a:latin typeface="ＭＳ ゴシック"/>
                    <a:ea typeface="ＭＳ ゴシック"/>
                  </a:rPr>
                  <a:pPr algn="ctr"/>
                  <a:t>令和４年度</a:t>
                </a:fld>
                <a:endParaRPr kumimoji="1" lang="en-US" altLang="ja-JP" sz="9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</xdr:grpSp>
      </xdr:grp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59531" y="10191750"/>
            <a:ext cx="4726781" cy="5595937"/>
          </a:xfrm>
          <a:prstGeom prst="rect">
            <a:avLst/>
          </a:prstGeom>
          <a:noFill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226220</xdr:colOff>
      <xdr:row>70</xdr:row>
      <xdr:rowOff>166687</xdr:rowOff>
    </xdr:from>
    <xdr:to>
      <xdr:col>4</xdr:col>
      <xdr:colOff>59532</xdr:colOff>
      <xdr:row>71</xdr:row>
      <xdr:rowOff>178594</xdr:rowOff>
    </xdr:to>
    <xdr:sp macro="" textlink="地域分析BD!Q134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940970" y="14097000"/>
          <a:ext cx="690562" cy="22621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/>
        <a:lstStyle/>
        <a:p>
          <a:pPr algn="ctr"/>
          <a:fld id="{E69A73E2-226A-40D0-A6C9-DEC87D1B091E}" type="TxLink">
            <a:rPr kumimoji="1" lang="ja-JP" altLang="en-US" sz="1000" b="0" i="0" u="none" strike="noStrike">
              <a:solidFill>
                <a:schemeClr val="tx1"/>
              </a:solidFill>
              <a:latin typeface="ＭＳ ゴシック"/>
              <a:ea typeface="ＭＳ ゴシック"/>
            </a:rPr>
            <a:pPr algn="ctr"/>
            <a:t>那　　覇</a:t>
          </a:fld>
          <a:endParaRPr kumimoji="1" lang="en-US" altLang="ja-JP" sz="10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57978</xdr:colOff>
      <xdr:row>79</xdr:row>
      <xdr:rowOff>6350</xdr:rowOff>
    </xdr:from>
    <xdr:to>
      <xdr:col>10</xdr:col>
      <xdr:colOff>654797</xdr:colOff>
      <xdr:row>94</xdr:row>
      <xdr:rowOff>133350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35FA509-E936-48AC-8EBD-BC0E57023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24"/>
  <sheetViews>
    <sheetView showGridLines="0" view="pageBreakPreview" zoomScale="85" zoomScaleNormal="90" zoomScaleSheetLayoutView="85" workbookViewId="0">
      <pane xSplit="2" ySplit="3" topLeftCell="M428" activePane="bottomRight" state="frozen"/>
      <selection pane="topRight" activeCell="C1" sqref="C1"/>
      <selection pane="bottomLeft" activeCell="A7" sqref="A7"/>
      <selection pane="bottomRight" activeCell="AA527" sqref="AA527"/>
    </sheetView>
  </sheetViews>
  <sheetFormatPr defaultColWidth="9" defaultRowHeight="15.75" customHeight="1"/>
  <cols>
    <col min="1" max="1" width="3.75" style="24" customWidth="1"/>
    <col min="2" max="2" width="11.25" style="24" customWidth="1"/>
    <col min="3" max="28" width="12.5" style="24" customWidth="1"/>
    <col min="29" max="16384" width="9" style="24"/>
  </cols>
  <sheetData>
    <row r="1" spans="1:28" ht="15.75" customHeight="1">
      <c r="A1" s="95" t="str">
        <f ca="1">RIGHT(CELL("filename",A1),LEN(CELL("filename",A1))-FIND("]",CELL("filename",A1)))</f>
        <v>経済活動別〔統計表〕</v>
      </c>
      <c r="Z1" s="94"/>
      <c r="AA1" s="94"/>
      <c r="AB1" s="94"/>
    </row>
    <row r="2" spans="1:28" ht="13.5" customHeight="1">
      <c r="A2" s="50">
        <v>23</v>
      </c>
      <c r="B2" s="51" t="str">
        <f>IF(A2&lt;22,"令和"&amp;A2&amp;"年度","平成"&amp;A2&amp;"年度")</f>
        <v>平成23年度</v>
      </c>
      <c r="C2" s="4" t="s">
        <v>268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</row>
    <row r="3" spans="1:28" ht="45" customHeight="1">
      <c r="A3" s="87"/>
      <c r="B3" s="88"/>
      <c r="C3" s="89" t="s">
        <v>51</v>
      </c>
      <c r="D3" s="89" t="s">
        <v>52</v>
      </c>
      <c r="E3" s="89" t="s">
        <v>53</v>
      </c>
      <c r="F3" s="89" t="s">
        <v>54</v>
      </c>
      <c r="G3" s="89" t="s">
        <v>55</v>
      </c>
      <c r="H3" s="89" t="s">
        <v>56</v>
      </c>
      <c r="I3" s="89" t="s">
        <v>57</v>
      </c>
      <c r="J3" s="89" t="s">
        <v>58</v>
      </c>
      <c r="K3" s="89" t="s">
        <v>59</v>
      </c>
      <c r="L3" s="89" t="s">
        <v>60</v>
      </c>
      <c r="M3" s="89" t="s">
        <v>61</v>
      </c>
      <c r="N3" s="89" t="s">
        <v>62</v>
      </c>
      <c r="O3" s="89" t="s">
        <v>63</v>
      </c>
      <c r="P3" s="89" t="s">
        <v>64</v>
      </c>
      <c r="Q3" s="89" t="s">
        <v>65</v>
      </c>
      <c r="R3" s="89" t="s">
        <v>66</v>
      </c>
      <c r="S3" s="89" t="s">
        <v>67</v>
      </c>
      <c r="T3" s="89" t="s">
        <v>68</v>
      </c>
      <c r="U3" s="89" t="s">
        <v>70</v>
      </c>
      <c r="V3" s="90" t="s">
        <v>69</v>
      </c>
      <c r="W3" s="91" t="s">
        <v>71</v>
      </c>
      <c r="X3" s="89" t="s">
        <v>72</v>
      </c>
      <c r="Y3" s="89" t="s">
        <v>73</v>
      </c>
      <c r="Z3" s="90" t="s">
        <v>74</v>
      </c>
      <c r="AA3" s="287" t="s">
        <v>277</v>
      </c>
      <c r="AB3" s="292" t="s">
        <v>278</v>
      </c>
    </row>
    <row r="4" spans="1:28" ht="13.5" customHeight="1">
      <c r="A4" s="165" t="s">
        <v>160</v>
      </c>
      <c r="B4" s="22" t="s">
        <v>0</v>
      </c>
      <c r="C4" s="266">
        <v>44995</v>
      </c>
      <c r="D4" s="267">
        <v>315</v>
      </c>
      <c r="E4" s="267">
        <v>7380</v>
      </c>
      <c r="F4" s="267">
        <v>3211</v>
      </c>
      <c r="G4" s="267">
        <v>204396</v>
      </c>
      <c r="H4" s="267">
        <v>141510</v>
      </c>
      <c r="I4" s="267">
        <v>254969</v>
      </c>
      <c r="J4" s="267">
        <v>379415</v>
      </c>
      <c r="K4" s="267">
        <v>239710</v>
      </c>
      <c r="L4" s="267">
        <v>153934</v>
      </c>
      <c r="M4" s="267">
        <v>176104</v>
      </c>
      <c r="N4" s="267">
        <v>143940</v>
      </c>
      <c r="O4" s="267">
        <v>457854</v>
      </c>
      <c r="P4" s="267">
        <v>319638</v>
      </c>
      <c r="Q4" s="267">
        <v>372691</v>
      </c>
      <c r="R4" s="267">
        <v>214907</v>
      </c>
      <c r="S4" s="267">
        <v>408353</v>
      </c>
      <c r="T4" s="267">
        <v>216284</v>
      </c>
      <c r="U4" s="267">
        <v>3739606</v>
      </c>
      <c r="V4" s="268">
        <v>4023</v>
      </c>
      <c r="W4" s="269">
        <v>3743629</v>
      </c>
      <c r="X4" s="267">
        <v>52690</v>
      </c>
      <c r="Y4" s="267">
        <v>462576</v>
      </c>
      <c r="Z4" s="267">
        <v>3224340</v>
      </c>
      <c r="AA4" s="288">
        <v>5878</v>
      </c>
      <c r="AB4" s="293">
        <v>3846280</v>
      </c>
    </row>
    <row r="5" spans="1:28" ht="13.5" customHeight="1">
      <c r="A5" s="16" t="s">
        <v>1</v>
      </c>
      <c r="B5" s="17" t="s">
        <v>2</v>
      </c>
      <c r="C5" s="270">
        <v>321</v>
      </c>
      <c r="D5" s="271">
        <v>23</v>
      </c>
      <c r="E5" s="271">
        <v>1442</v>
      </c>
      <c r="F5" s="271">
        <v>179</v>
      </c>
      <c r="G5" s="271">
        <v>14192</v>
      </c>
      <c r="H5" s="271">
        <v>24858</v>
      </c>
      <c r="I5" s="271">
        <v>46042</v>
      </c>
      <c r="J5" s="271">
        <v>116127</v>
      </c>
      <c r="K5" s="271">
        <v>142559</v>
      </c>
      <c r="L5" s="271">
        <v>50099</v>
      </c>
      <c r="M5" s="271">
        <v>116084</v>
      </c>
      <c r="N5" s="271">
        <v>92335</v>
      </c>
      <c r="O5" s="271">
        <v>127423</v>
      </c>
      <c r="P5" s="271">
        <v>133386</v>
      </c>
      <c r="Q5" s="271">
        <v>177201</v>
      </c>
      <c r="R5" s="271">
        <v>39159</v>
      </c>
      <c r="S5" s="271">
        <v>88480</v>
      </c>
      <c r="T5" s="271">
        <v>58073</v>
      </c>
      <c r="U5" s="271">
        <v>1227983</v>
      </c>
      <c r="V5" s="272">
        <v>1323</v>
      </c>
      <c r="W5" s="273">
        <v>1229306</v>
      </c>
      <c r="X5" s="271">
        <v>1786</v>
      </c>
      <c r="Y5" s="271">
        <v>60413</v>
      </c>
      <c r="Z5" s="271">
        <v>1165784</v>
      </c>
      <c r="AA5" s="289">
        <v>7303</v>
      </c>
      <c r="AB5" s="294">
        <v>1248166.5223758647</v>
      </c>
    </row>
    <row r="6" spans="1:28" ht="13.5" customHeight="1">
      <c r="A6" s="18" t="s">
        <v>3</v>
      </c>
      <c r="B6" s="19" t="s">
        <v>4</v>
      </c>
      <c r="C6" s="274">
        <v>105</v>
      </c>
      <c r="D6" s="275">
        <v>0</v>
      </c>
      <c r="E6" s="275">
        <v>125</v>
      </c>
      <c r="F6" s="275">
        <v>350</v>
      </c>
      <c r="G6" s="275">
        <v>9163</v>
      </c>
      <c r="H6" s="275">
        <v>5903</v>
      </c>
      <c r="I6" s="275">
        <v>18359</v>
      </c>
      <c r="J6" s="275">
        <v>21281</v>
      </c>
      <c r="K6" s="275">
        <v>5028</v>
      </c>
      <c r="L6" s="275">
        <v>7382</v>
      </c>
      <c r="M6" s="275">
        <v>6917</v>
      </c>
      <c r="N6" s="275">
        <v>4525</v>
      </c>
      <c r="O6" s="275">
        <v>31307</v>
      </c>
      <c r="P6" s="275">
        <v>17533</v>
      </c>
      <c r="Q6" s="275">
        <v>8750</v>
      </c>
      <c r="R6" s="275">
        <v>12164</v>
      </c>
      <c r="S6" s="275">
        <v>17727</v>
      </c>
      <c r="T6" s="275">
        <v>13012</v>
      </c>
      <c r="U6" s="275">
        <v>179631</v>
      </c>
      <c r="V6" s="276">
        <v>193</v>
      </c>
      <c r="W6" s="277">
        <v>179824</v>
      </c>
      <c r="X6" s="275">
        <v>230</v>
      </c>
      <c r="Y6" s="275">
        <v>27872</v>
      </c>
      <c r="Z6" s="275">
        <v>151529</v>
      </c>
      <c r="AA6" s="290">
        <v>5543</v>
      </c>
      <c r="AB6" s="295">
        <v>183273.79800776418</v>
      </c>
    </row>
    <row r="7" spans="1:28" ht="13.5" customHeight="1">
      <c r="A7" s="18" t="s">
        <v>5</v>
      </c>
      <c r="B7" s="19" t="s">
        <v>6</v>
      </c>
      <c r="C7" s="274">
        <v>4419</v>
      </c>
      <c r="D7" s="275">
        <v>22</v>
      </c>
      <c r="E7" s="275">
        <v>424</v>
      </c>
      <c r="F7" s="275">
        <v>254</v>
      </c>
      <c r="G7" s="275">
        <v>5425</v>
      </c>
      <c r="H7" s="275">
        <v>5628</v>
      </c>
      <c r="I7" s="275">
        <v>13467</v>
      </c>
      <c r="J7" s="275">
        <v>11027</v>
      </c>
      <c r="K7" s="275">
        <v>11466</v>
      </c>
      <c r="L7" s="275">
        <v>10002</v>
      </c>
      <c r="M7" s="275">
        <v>1051</v>
      </c>
      <c r="N7" s="275">
        <v>2744</v>
      </c>
      <c r="O7" s="275">
        <v>16105</v>
      </c>
      <c r="P7" s="275">
        <v>12335</v>
      </c>
      <c r="Q7" s="275">
        <v>15382</v>
      </c>
      <c r="R7" s="275">
        <v>9554</v>
      </c>
      <c r="S7" s="275">
        <v>12422</v>
      </c>
      <c r="T7" s="275">
        <v>6560</v>
      </c>
      <c r="U7" s="275">
        <v>138287</v>
      </c>
      <c r="V7" s="276">
        <v>149</v>
      </c>
      <c r="W7" s="277">
        <v>138436</v>
      </c>
      <c r="X7" s="275">
        <v>4865</v>
      </c>
      <c r="Y7" s="275">
        <v>19146</v>
      </c>
      <c r="Z7" s="275">
        <v>114276</v>
      </c>
      <c r="AA7" s="290">
        <v>5689</v>
      </c>
      <c r="AB7" s="295">
        <v>143782.46550707854</v>
      </c>
    </row>
    <row r="8" spans="1:28" ht="13.5" customHeight="1">
      <c r="A8" s="18" t="s">
        <v>7</v>
      </c>
      <c r="B8" s="19" t="s">
        <v>8</v>
      </c>
      <c r="C8" s="274">
        <v>31</v>
      </c>
      <c r="D8" s="275">
        <v>2</v>
      </c>
      <c r="E8" s="275">
        <v>184</v>
      </c>
      <c r="F8" s="275">
        <v>150</v>
      </c>
      <c r="G8" s="275">
        <v>17389</v>
      </c>
      <c r="H8" s="275">
        <v>21559</v>
      </c>
      <c r="I8" s="275">
        <v>12936</v>
      </c>
      <c r="J8" s="275">
        <v>75797</v>
      </c>
      <c r="K8" s="275">
        <v>15853</v>
      </c>
      <c r="L8" s="275">
        <v>7594</v>
      </c>
      <c r="M8" s="275">
        <v>30451</v>
      </c>
      <c r="N8" s="275">
        <v>9470</v>
      </c>
      <c r="O8" s="275">
        <v>35180</v>
      </c>
      <c r="P8" s="275">
        <v>34126</v>
      </c>
      <c r="Q8" s="275">
        <v>13656</v>
      </c>
      <c r="R8" s="275">
        <v>16882</v>
      </c>
      <c r="S8" s="275">
        <v>35667</v>
      </c>
      <c r="T8" s="275">
        <v>15959</v>
      </c>
      <c r="U8" s="275">
        <v>342886</v>
      </c>
      <c r="V8" s="276">
        <v>369</v>
      </c>
      <c r="W8" s="277">
        <v>343255</v>
      </c>
      <c r="X8" s="275">
        <v>217</v>
      </c>
      <c r="Y8" s="275">
        <v>30475</v>
      </c>
      <c r="Z8" s="275">
        <v>312194</v>
      </c>
      <c r="AA8" s="290">
        <v>6227</v>
      </c>
      <c r="AB8" s="295">
        <v>352192.3626595072</v>
      </c>
    </row>
    <row r="9" spans="1:28" ht="13.5" customHeight="1">
      <c r="A9" s="16" t="s">
        <v>9</v>
      </c>
      <c r="B9" s="17" t="s">
        <v>10</v>
      </c>
      <c r="C9" s="274">
        <v>3219</v>
      </c>
      <c r="D9" s="275">
        <v>79</v>
      </c>
      <c r="E9" s="275">
        <v>352</v>
      </c>
      <c r="F9" s="275">
        <v>531</v>
      </c>
      <c r="G9" s="275">
        <v>17387</v>
      </c>
      <c r="H9" s="275">
        <v>5266</v>
      </c>
      <c r="I9" s="275">
        <v>10378</v>
      </c>
      <c r="J9" s="275">
        <v>13824</v>
      </c>
      <c r="K9" s="275">
        <v>4275</v>
      </c>
      <c r="L9" s="275">
        <v>8974</v>
      </c>
      <c r="M9" s="275">
        <v>1348</v>
      </c>
      <c r="N9" s="275">
        <v>4801</v>
      </c>
      <c r="O9" s="275">
        <v>17960</v>
      </c>
      <c r="P9" s="275">
        <v>11168</v>
      </c>
      <c r="Q9" s="275">
        <v>12089</v>
      </c>
      <c r="R9" s="275">
        <v>14059</v>
      </c>
      <c r="S9" s="275">
        <v>25724</v>
      </c>
      <c r="T9" s="275">
        <v>8835</v>
      </c>
      <c r="U9" s="275">
        <v>160269</v>
      </c>
      <c r="V9" s="276">
        <v>172</v>
      </c>
      <c r="W9" s="277">
        <v>160441</v>
      </c>
      <c r="X9" s="275">
        <v>3650</v>
      </c>
      <c r="Y9" s="275">
        <v>28296</v>
      </c>
      <c r="Z9" s="275">
        <v>128323</v>
      </c>
      <c r="AA9" s="290">
        <v>5333</v>
      </c>
      <c r="AB9" s="295">
        <v>163309.60441526785</v>
      </c>
    </row>
    <row r="10" spans="1:28" ht="13.5" customHeight="1">
      <c r="A10" s="18" t="s">
        <v>11</v>
      </c>
      <c r="B10" s="19" t="s">
        <v>12</v>
      </c>
      <c r="C10" s="274">
        <v>3310</v>
      </c>
      <c r="D10" s="275">
        <v>2</v>
      </c>
      <c r="E10" s="275">
        <v>346</v>
      </c>
      <c r="F10" s="275">
        <v>340</v>
      </c>
      <c r="G10" s="275">
        <v>20563</v>
      </c>
      <c r="H10" s="275">
        <v>3360</v>
      </c>
      <c r="I10" s="275">
        <v>7479</v>
      </c>
      <c r="J10" s="275">
        <v>10529</v>
      </c>
      <c r="K10" s="275">
        <v>5238</v>
      </c>
      <c r="L10" s="275">
        <v>3706</v>
      </c>
      <c r="M10" s="275">
        <v>562</v>
      </c>
      <c r="N10" s="275">
        <v>1602</v>
      </c>
      <c r="O10" s="275">
        <v>15927</v>
      </c>
      <c r="P10" s="275">
        <v>4112</v>
      </c>
      <c r="Q10" s="275">
        <v>8117</v>
      </c>
      <c r="R10" s="275">
        <v>7585</v>
      </c>
      <c r="S10" s="275">
        <v>17730</v>
      </c>
      <c r="T10" s="275">
        <v>8608</v>
      </c>
      <c r="U10" s="275">
        <v>119116</v>
      </c>
      <c r="V10" s="276">
        <v>129</v>
      </c>
      <c r="W10" s="277">
        <v>119245</v>
      </c>
      <c r="X10" s="275">
        <v>3658</v>
      </c>
      <c r="Y10" s="275">
        <v>28382</v>
      </c>
      <c r="Z10" s="275">
        <v>87076</v>
      </c>
      <c r="AA10" s="290">
        <v>4700</v>
      </c>
      <c r="AB10" s="295">
        <v>121572.63465095389</v>
      </c>
    </row>
    <row r="11" spans="1:28" ht="13.5" customHeight="1">
      <c r="A11" s="18" t="s">
        <v>13</v>
      </c>
      <c r="B11" s="19" t="s">
        <v>14</v>
      </c>
      <c r="C11" s="274">
        <v>1350</v>
      </c>
      <c r="D11" s="275">
        <v>3</v>
      </c>
      <c r="E11" s="275">
        <v>239</v>
      </c>
      <c r="F11" s="275">
        <v>127</v>
      </c>
      <c r="G11" s="275">
        <v>8096</v>
      </c>
      <c r="H11" s="275">
        <v>8501</v>
      </c>
      <c r="I11" s="275">
        <v>15258</v>
      </c>
      <c r="J11" s="275">
        <v>22357</v>
      </c>
      <c r="K11" s="275">
        <v>8069</v>
      </c>
      <c r="L11" s="275">
        <v>13100</v>
      </c>
      <c r="M11" s="275">
        <v>1676</v>
      </c>
      <c r="N11" s="275">
        <v>9761</v>
      </c>
      <c r="O11" s="275">
        <v>42981</v>
      </c>
      <c r="P11" s="275">
        <v>25656</v>
      </c>
      <c r="Q11" s="275">
        <v>26602</v>
      </c>
      <c r="R11" s="275">
        <v>19341</v>
      </c>
      <c r="S11" s="275">
        <v>46863</v>
      </c>
      <c r="T11" s="275">
        <v>19696</v>
      </c>
      <c r="U11" s="275">
        <v>269676</v>
      </c>
      <c r="V11" s="276">
        <v>290</v>
      </c>
      <c r="W11" s="277">
        <v>269966</v>
      </c>
      <c r="X11" s="275">
        <v>1592</v>
      </c>
      <c r="Y11" s="275">
        <v>23481</v>
      </c>
      <c r="Z11" s="275">
        <v>244603</v>
      </c>
      <c r="AA11" s="290">
        <v>5298</v>
      </c>
      <c r="AB11" s="295">
        <v>274267.89331520995</v>
      </c>
    </row>
    <row r="12" spans="1:28" ht="13.5" customHeight="1">
      <c r="A12" s="18" t="s">
        <v>15</v>
      </c>
      <c r="B12" s="19" t="s">
        <v>45</v>
      </c>
      <c r="C12" s="274">
        <v>1284</v>
      </c>
      <c r="D12" s="275">
        <v>3</v>
      </c>
      <c r="E12" s="275">
        <v>241</v>
      </c>
      <c r="F12" s="275">
        <v>36</v>
      </c>
      <c r="G12" s="275">
        <v>4085</v>
      </c>
      <c r="H12" s="275">
        <v>2939</v>
      </c>
      <c r="I12" s="275">
        <v>11525</v>
      </c>
      <c r="J12" s="275">
        <v>13325</v>
      </c>
      <c r="K12" s="275">
        <v>8119</v>
      </c>
      <c r="L12" s="275">
        <v>2540</v>
      </c>
      <c r="M12" s="275">
        <v>5814</v>
      </c>
      <c r="N12" s="275">
        <v>1696</v>
      </c>
      <c r="O12" s="275">
        <v>17044</v>
      </c>
      <c r="P12" s="275">
        <v>12783</v>
      </c>
      <c r="Q12" s="275">
        <v>5878</v>
      </c>
      <c r="R12" s="275">
        <v>6261</v>
      </c>
      <c r="S12" s="275">
        <v>20355</v>
      </c>
      <c r="T12" s="275">
        <v>6295</v>
      </c>
      <c r="U12" s="275">
        <v>120223</v>
      </c>
      <c r="V12" s="276">
        <v>129</v>
      </c>
      <c r="W12" s="277">
        <v>120352</v>
      </c>
      <c r="X12" s="275">
        <v>1528</v>
      </c>
      <c r="Y12" s="275">
        <v>15646</v>
      </c>
      <c r="Z12" s="275">
        <v>103049</v>
      </c>
      <c r="AA12" s="290">
        <v>5783</v>
      </c>
      <c r="AB12" s="295">
        <v>123646.02733572751</v>
      </c>
    </row>
    <row r="13" spans="1:28" ht="13.5" customHeight="1">
      <c r="A13" s="18" t="s">
        <v>16</v>
      </c>
      <c r="B13" s="19" t="s">
        <v>46</v>
      </c>
      <c r="C13" s="274">
        <v>2320</v>
      </c>
      <c r="D13" s="275">
        <v>2</v>
      </c>
      <c r="E13" s="275">
        <v>421</v>
      </c>
      <c r="F13" s="275">
        <v>176</v>
      </c>
      <c r="G13" s="275">
        <v>20018</v>
      </c>
      <c r="H13" s="275">
        <v>23463</v>
      </c>
      <c r="I13" s="275">
        <v>18662</v>
      </c>
      <c r="J13" s="275">
        <v>20172</v>
      </c>
      <c r="K13" s="275">
        <v>7622</v>
      </c>
      <c r="L13" s="275">
        <v>6323</v>
      </c>
      <c r="M13" s="275">
        <v>3016</v>
      </c>
      <c r="N13" s="275">
        <v>4069</v>
      </c>
      <c r="O13" s="275">
        <v>33886</v>
      </c>
      <c r="P13" s="275">
        <v>16246</v>
      </c>
      <c r="Q13" s="275">
        <v>20740</v>
      </c>
      <c r="R13" s="275">
        <v>14107</v>
      </c>
      <c r="S13" s="275">
        <v>26952</v>
      </c>
      <c r="T13" s="275">
        <v>14384</v>
      </c>
      <c r="U13" s="275">
        <v>232579</v>
      </c>
      <c r="V13" s="276">
        <v>250</v>
      </c>
      <c r="W13" s="277">
        <v>232829</v>
      </c>
      <c r="X13" s="275">
        <v>2743</v>
      </c>
      <c r="Y13" s="275">
        <v>38856</v>
      </c>
      <c r="Z13" s="275">
        <v>190980</v>
      </c>
      <c r="AA13" s="290">
        <v>5713</v>
      </c>
      <c r="AB13" s="295">
        <v>243616.77346401522</v>
      </c>
    </row>
    <row r="14" spans="1:28" ht="13.5" customHeight="1">
      <c r="A14" s="18">
        <v>10</v>
      </c>
      <c r="B14" s="19" t="s">
        <v>47</v>
      </c>
      <c r="C14" s="274">
        <v>5814</v>
      </c>
      <c r="D14" s="275">
        <v>40</v>
      </c>
      <c r="E14" s="275">
        <v>495</v>
      </c>
      <c r="F14" s="275">
        <v>111</v>
      </c>
      <c r="G14" s="275">
        <v>7761</v>
      </c>
      <c r="H14" s="275">
        <v>5883</v>
      </c>
      <c r="I14" s="275">
        <v>15852</v>
      </c>
      <c r="J14" s="275">
        <v>15819</v>
      </c>
      <c r="K14" s="275">
        <v>7298</v>
      </c>
      <c r="L14" s="275">
        <v>6265</v>
      </c>
      <c r="M14" s="275">
        <v>1599</v>
      </c>
      <c r="N14" s="275">
        <v>2532</v>
      </c>
      <c r="O14" s="275">
        <v>14662</v>
      </c>
      <c r="P14" s="275">
        <v>9329</v>
      </c>
      <c r="Q14" s="275">
        <v>18560</v>
      </c>
      <c r="R14" s="275">
        <v>10125</v>
      </c>
      <c r="S14" s="275">
        <v>16932</v>
      </c>
      <c r="T14" s="275">
        <v>6436</v>
      </c>
      <c r="U14" s="275">
        <v>145513</v>
      </c>
      <c r="V14" s="276">
        <v>156</v>
      </c>
      <c r="W14" s="277">
        <v>145669</v>
      </c>
      <c r="X14" s="275">
        <v>6349</v>
      </c>
      <c r="Y14" s="275">
        <v>23724</v>
      </c>
      <c r="Z14" s="275">
        <v>115440</v>
      </c>
      <c r="AA14" s="290">
        <v>5411</v>
      </c>
      <c r="AB14" s="295">
        <v>150530.50449930495</v>
      </c>
    </row>
    <row r="15" spans="1:28" ht="13.5" customHeight="1">
      <c r="A15" s="20">
        <v>11</v>
      </c>
      <c r="B15" s="21" t="s">
        <v>48</v>
      </c>
      <c r="C15" s="278">
        <v>2824</v>
      </c>
      <c r="D15" s="279">
        <v>0</v>
      </c>
      <c r="E15" s="279">
        <v>450</v>
      </c>
      <c r="F15" s="279">
        <v>101</v>
      </c>
      <c r="G15" s="279">
        <v>11208</v>
      </c>
      <c r="H15" s="279">
        <v>2000</v>
      </c>
      <c r="I15" s="279">
        <v>6453</v>
      </c>
      <c r="J15" s="279">
        <v>3650</v>
      </c>
      <c r="K15" s="279">
        <v>2089</v>
      </c>
      <c r="L15" s="279">
        <v>1326</v>
      </c>
      <c r="M15" s="279">
        <v>23</v>
      </c>
      <c r="N15" s="279">
        <v>396</v>
      </c>
      <c r="O15" s="279">
        <v>10263</v>
      </c>
      <c r="P15" s="279">
        <v>1564</v>
      </c>
      <c r="Q15" s="279">
        <v>9125</v>
      </c>
      <c r="R15" s="279">
        <v>3183</v>
      </c>
      <c r="S15" s="279">
        <v>6577</v>
      </c>
      <c r="T15" s="279">
        <v>4131</v>
      </c>
      <c r="U15" s="279">
        <v>65363</v>
      </c>
      <c r="V15" s="280">
        <v>71</v>
      </c>
      <c r="W15" s="281">
        <v>65434</v>
      </c>
      <c r="X15" s="279">
        <v>3274</v>
      </c>
      <c r="Y15" s="279">
        <v>17762</v>
      </c>
      <c r="Z15" s="279">
        <v>44327</v>
      </c>
      <c r="AA15" s="291">
        <v>4452</v>
      </c>
      <c r="AB15" s="296">
        <v>67132.408402874134</v>
      </c>
    </row>
    <row r="16" spans="1:28" ht="13.5" customHeight="1">
      <c r="A16" s="18">
        <v>12</v>
      </c>
      <c r="B16" s="19" t="s">
        <v>17</v>
      </c>
      <c r="C16" s="270">
        <v>1773</v>
      </c>
      <c r="D16" s="271">
        <v>77</v>
      </c>
      <c r="E16" s="271">
        <v>45</v>
      </c>
      <c r="F16" s="271">
        <v>29</v>
      </c>
      <c r="G16" s="271">
        <v>502</v>
      </c>
      <c r="H16" s="271">
        <v>361</v>
      </c>
      <c r="I16" s="271">
        <v>2592</v>
      </c>
      <c r="J16" s="271">
        <v>421</v>
      </c>
      <c r="K16" s="271">
        <v>292</v>
      </c>
      <c r="L16" s="271">
        <v>1142</v>
      </c>
      <c r="M16" s="271">
        <v>1</v>
      </c>
      <c r="N16" s="271">
        <v>161</v>
      </c>
      <c r="O16" s="271">
        <v>1190</v>
      </c>
      <c r="P16" s="271">
        <v>84</v>
      </c>
      <c r="Q16" s="271">
        <v>1641</v>
      </c>
      <c r="R16" s="271">
        <v>987</v>
      </c>
      <c r="S16" s="271">
        <v>824</v>
      </c>
      <c r="T16" s="271">
        <v>457</v>
      </c>
      <c r="U16" s="271">
        <v>12579</v>
      </c>
      <c r="V16" s="272">
        <v>13</v>
      </c>
      <c r="W16" s="273">
        <v>12592</v>
      </c>
      <c r="X16" s="271">
        <v>1895</v>
      </c>
      <c r="Y16" s="271">
        <v>3123</v>
      </c>
      <c r="Z16" s="271">
        <v>7561</v>
      </c>
      <c r="AA16" s="289">
        <v>4454</v>
      </c>
      <c r="AB16" s="294">
        <v>13130.539926704572</v>
      </c>
    </row>
    <row r="17" spans="1:28" ht="13.5" customHeight="1">
      <c r="A17" s="18">
        <v>13</v>
      </c>
      <c r="B17" s="19" t="s">
        <v>18</v>
      </c>
      <c r="C17" s="274">
        <v>1200</v>
      </c>
      <c r="D17" s="275">
        <v>10</v>
      </c>
      <c r="E17" s="275">
        <v>10</v>
      </c>
      <c r="F17" s="275">
        <v>0</v>
      </c>
      <c r="G17" s="275">
        <v>145</v>
      </c>
      <c r="H17" s="275">
        <v>151</v>
      </c>
      <c r="I17" s="275">
        <v>564</v>
      </c>
      <c r="J17" s="275">
        <v>167</v>
      </c>
      <c r="K17" s="275">
        <v>303</v>
      </c>
      <c r="L17" s="275">
        <v>77</v>
      </c>
      <c r="M17" s="275">
        <v>0</v>
      </c>
      <c r="N17" s="275">
        <v>5</v>
      </c>
      <c r="O17" s="275">
        <v>774</v>
      </c>
      <c r="P17" s="275">
        <v>156</v>
      </c>
      <c r="Q17" s="275">
        <v>842</v>
      </c>
      <c r="R17" s="275">
        <v>855</v>
      </c>
      <c r="S17" s="275">
        <v>753</v>
      </c>
      <c r="T17" s="275">
        <v>294</v>
      </c>
      <c r="U17" s="275">
        <v>6306</v>
      </c>
      <c r="V17" s="276">
        <v>7</v>
      </c>
      <c r="W17" s="277">
        <v>6313</v>
      </c>
      <c r="X17" s="275">
        <v>1220</v>
      </c>
      <c r="Y17" s="275">
        <v>709</v>
      </c>
      <c r="Z17" s="275">
        <v>4377</v>
      </c>
      <c r="AA17" s="290">
        <v>3996</v>
      </c>
      <c r="AB17" s="295">
        <v>6647.4590325534755</v>
      </c>
    </row>
    <row r="18" spans="1:28" ht="13.5" customHeight="1">
      <c r="A18" s="18">
        <v>14</v>
      </c>
      <c r="B18" s="19" t="s">
        <v>19</v>
      </c>
      <c r="C18" s="274">
        <v>859</v>
      </c>
      <c r="D18" s="275">
        <v>3</v>
      </c>
      <c r="E18" s="275">
        <v>22</v>
      </c>
      <c r="F18" s="275">
        <v>0</v>
      </c>
      <c r="G18" s="275">
        <v>207</v>
      </c>
      <c r="H18" s="275">
        <v>51</v>
      </c>
      <c r="I18" s="275">
        <v>959</v>
      </c>
      <c r="J18" s="275">
        <v>94</v>
      </c>
      <c r="K18" s="275">
        <v>66</v>
      </c>
      <c r="L18" s="275">
        <v>114</v>
      </c>
      <c r="M18" s="275">
        <v>0</v>
      </c>
      <c r="N18" s="275">
        <v>14</v>
      </c>
      <c r="O18" s="275">
        <v>370</v>
      </c>
      <c r="P18" s="275">
        <v>582</v>
      </c>
      <c r="Q18" s="275">
        <v>698</v>
      </c>
      <c r="R18" s="275">
        <v>724</v>
      </c>
      <c r="S18" s="275">
        <v>189</v>
      </c>
      <c r="T18" s="275">
        <v>271</v>
      </c>
      <c r="U18" s="275">
        <v>5223</v>
      </c>
      <c r="V18" s="276">
        <v>6</v>
      </c>
      <c r="W18" s="277">
        <v>5229</v>
      </c>
      <c r="X18" s="275">
        <v>884</v>
      </c>
      <c r="Y18" s="275">
        <v>1166</v>
      </c>
      <c r="Z18" s="275">
        <v>3173</v>
      </c>
      <c r="AA18" s="290">
        <v>4354</v>
      </c>
      <c r="AB18" s="295">
        <v>5488.4864083713856</v>
      </c>
    </row>
    <row r="19" spans="1:28" ht="13.5" customHeight="1">
      <c r="A19" s="18">
        <v>15</v>
      </c>
      <c r="B19" s="19" t="s">
        <v>20</v>
      </c>
      <c r="C19" s="274">
        <v>1613</v>
      </c>
      <c r="D19" s="275">
        <v>7</v>
      </c>
      <c r="E19" s="275">
        <v>61</v>
      </c>
      <c r="F19" s="275">
        <v>0</v>
      </c>
      <c r="G19" s="275">
        <v>1232</v>
      </c>
      <c r="H19" s="275">
        <v>365</v>
      </c>
      <c r="I19" s="275">
        <v>2149</v>
      </c>
      <c r="J19" s="275">
        <v>551</v>
      </c>
      <c r="K19" s="275">
        <v>490</v>
      </c>
      <c r="L19" s="275">
        <v>798</v>
      </c>
      <c r="M19" s="275">
        <v>46</v>
      </c>
      <c r="N19" s="275">
        <v>91</v>
      </c>
      <c r="O19" s="275">
        <v>1856</v>
      </c>
      <c r="P19" s="275">
        <v>763</v>
      </c>
      <c r="Q19" s="275">
        <v>1242</v>
      </c>
      <c r="R19" s="275">
        <v>1286</v>
      </c>
      <c r="S19" s="275">
        <v>1915</v>
      </c>
      <c r="T19" s="275">
        <v>1122</v>
      </c>
      <c r="U19" s="275">
        <v>15587</v>
      </c>
      <c r="V19" s="276">
        <v>17</v>
      </c>
      <c r="W19" s="277">
        <v>15604</v>
      </c>
      <c r="X19" s="275">
        <v>1681</v>
      </c>
      <c r="Y19" s="275">
        <v>3381</v>
      </c>
      <c r="Z19" s="275">
        <v>10525</v>
      </c>
      <c r="AA19" s="290">
        <v>3783</v>
      </c>
      <c r="AB19" s="295">
        <v>16178.186967748437</v>
      </c>
    </row>
    <row r="20" spans="1:28" ht="13.5" customHeight="1">
      <c r="A20" s="18">
        <v>16</v>
      </c>
      <c r="B20" s="19" t="s">
        <v>21</v>
      </c>
      <c r="C20" s="274">
        <v>1062</v>
      </c>
      <c r="D20" s="275">
        <v>3</v>
      </c>
      <c r="E20" s="275">
        <v>519</v>
      </c>
      <c r="F20" s="275">
        <v>347</v>
      </c>
      <c r="G20" s="275">
        <v>2155</v>
      </c>
      <c r="H20" s="275">
        <v>986</v>
      </c>
      <c r="I20" s="275">
        <v>5269</v>
      </c>
      <c r="J20" s="275">
        <v>1490</v>
      </c>
      <c r="K20" s="275">
        <v>1072</v>
      </c>
      <c r="L20" s="275">
        <v>2595</v>
      </c>
      <c r="M20" s="275">
        <v>0</v>
      </c>
      <c r="N20" s="275">
        <v>497</v>
      </c>
      <c r="O20" s="275">
        <v>3656</v>
      </c>
      <c r="P20" s="275">
        <v>1129</v>
      </c>
      <c r="Q20" s="275">
        <v>2227</v>
      </c>
      <c r="R20" s="275">
        <v>2019</v>
      </c>
      <c r="S20" s="275">
        <v>5420</v>
      </c>
      <c r="T20" s="275">
        <v>4832</v>
      </c>
      <c r="U20" s="275">
        <v>35278</v>
      </c>
      <c r="V20" s="276">
        <v>38</v>
      </c>
      <c r="W20" s="277">
        <v>35316</v>
      </c>
      <c r="X20" s="275">
        <v>1584</v>
      </c>
      <c r="Y20" s="275">
        <v>7771</v>
      </c>
      <c r="Z20" s="275">
        <v>25923</v>
      </c>
      <c r="AA20" s="290">
        <v>4676</v>
      </c>
      <c r="AB20" s="295">
        <v>36622.02354357201</v>
      </c>
    </row>
    <row r="21" spans="1:28" ht="13.5" customHeight="1">
      <c r="A21" s="18">
        <v>17</v>
      </c>
      <c r="B21" s="19" t="s">
        <v>22</v>
      </c>
      <c r="C21" s="274">
        <v>756</v>
      </c>
      <c r="D21" s="275">
        <v>14</v>
      </c>
      <c r="E21" s="275">
        <v>198</v>
      </c>
      <c r="F21" s="275">
        <v>39</v>
      </c>
      <c r="G21" s="275">
        <v>723</v>
      </c>
      <c r="H21" s="275">
        <v>549</v>
      </c>
      <c r="I21" s="275">
        <v>4427</v>
      </c>
      <c r="J21" s="275">
        <v>1387</v>
      </c>
      <c r="K21" s="275">
        <v>799</v>
      </c>
      <c r="L21" s="275">
        <v>7627</v>
      </c>
      <c r="M21" s="275">
        <v>83</v>
      </c>
      <c r="N21" s="275">
        <v>124</v>
      </c>
      <c r="O21" s="275">
        <v>4257</v>
      </c>
      <c r="P21" s="275">
        <v>10710</v>
      </c>
      <c r="Q21" s="275">
        <v>3230</v>
      </c>
      <c r="R21" s="275">
        <v>3708</v>
      </c>
      <c r="S21" s="275">
        <v>1340</v>
      </c>
      <c r="T21" s="275">
        <v>4319</v>
      </c>
      <c r="U21" s="275">
        <v>44290</v>
      </c>
      <c r="V21" s="276">
        <v>47</v>
      </c>
      <c r="W21" s="277">
        <v>44337</v>
      </c>
      <c r="X21" s="275">
        <v>968</v>
      </c>
      <c r="Y21" s="275">
        <v>5189</v>
      </c>
      <c r="Z21" s="275">
        <v>38133</v>
      </c>
      <c r="AA21" s="290">
        <v>5276</v>
      </c>
      <c r="AB21" s="295">
        <v>45716.471778260187</v>
      </c>
    </row>
    <row r="22" spans="1:28" ht="13.5" customHeight="1">
      <c r="A22" s="18">
        <v>18</v>
      </c>
      <c r="B22" s="19" t="s">
        <v>23</v>
      </c>
      <c r="C22" s="274">
        <v>789</v>
      </c>
      <c r="D22" s="275">
        <v>0</v>
      </c>
      <c r="E22" s="275">
        <v>139</v>
      </c>
      <c r="F22" s="275">
        <v>13</v>
      </c>
      <c r="G22" s="275">
        <v>175</v>
      </c>
      <c r="H22" s="275">
        <v>213</v>
      </c>
      <c r="I22" s="275">
        <v>1542</v>
      </c>
      <c r="J22" s="275">
        <v>388</v>
      </c>
      <c r="K22" s="275">
        <v>1010</v>
      </c>
      <c r="L22" s="275">
        <v>295</v>
      </c>
      <c r="M22" s="275">
        <v>571</v>
      </c>
      <c r="N22" s="275">
        <v>28</v>
      </c>
      <c r="O22" s="275">
        <v>1444</v>
      </c>
      <c r="P22" s="275">
        <v>1160</v>
      </c>
      <c r="Q22" s="275">
        <v>1460</v>
      </c>
      <c r="R22" s="275">
        <v>1108</v>
      </c>
      <c r="S22" s="275">
        <v>1727</v>
      </c>
      <c r="T22" s="275">
        <v>784</v>
      </c>
      <c r="U22" s="275">
        <v>12846</v>
      </c>
      <c r="V22" s="276">
        <v>14</v>
      </c>
      <c r="W22" s="277">
        <v>12860</v>
      </c>
      <c r="X22" s="275">
        <v>928</v>
      </c>
      <c r="Y22" s="275">
        <v>1730</v>
      </c>
      <c r="Z22" s="275">
        <v>10188</v>
      </c>
      <c r="AA22" s="290">
        <v>4781</v>
      </c>
      <c r="AB22" s="295">
        <v>13285.021838412616</v>
      </c>
    </row>
    <row r="23" spans="1:28" ht="13.5" customHeight="1">
      <c r="A23" s="18">
        <v>19</v>
      </c>
      <c r="B23" s="19" t="s">
        <v>24</v>
      </c>
      <c r="C23" s="274">
        <v>787</v>
      </c>
      <c r="D23" s="275">
        <v>0</v>
      </c>
      <c r="E23" s="275">
        <v>59</v>
      </c>
      <c r="F23" s="275">
        <v>13</v>
      </c>
      <c r="G23" s="275">
        <v>997</v>
      </c>
      <c r="H23" s="275">
        <v>11255</v>
      </c>
      <c r="I23" s="275">
        <v>6037</v>
      </c>
      <c r="J23" s="275">
        <v>933</v>
      </c>
      <c r="K23" s="275">
        <v>1498</v>
      </c>
      <c r="L23" s="275">
        <v>1061</v>
      </c>
      <c r="M23" s="275">
        <v>86</v>
      </c>
      <c r="N23" s="275">
        <v>281</v>
      </c>
      <c r="O23" s="275">
        <v>3406</v>
      </c>
      <c r="P23" s="275">
        <v>463</v>
      </c>
      <c r="Q23" s="275">
        <v>1780</v>
      </c>
      <c r="R23" s="275">
        <v>1355</v>
      </c>
      <c r="S23" s="275">
        <v>4105</v>
      </c>
      <c r="T23" s="275">
        <v>1137</v>
      </c>
      <c r="U23" s="275">
        <v>35253</v>
      </c>
      <c r="V23" s="276">
        <v>38</v>
      </c>
      <c r="W23" s="277">
        <v>35291</v>
      </c>
      <c r="X23" s="275">
        <v>846</v>
      </c>
      <c r="Y23" s="275">
        <v>7047</v>
      </c>
      <c r="Z23" s="275">
        <v>27360</v>
      </c>
      <c r="AA23" s="290">
        <v>6661</v>
      </c>
      <c r="AB23" s="295">
        <v>41332.897987213684</v>
      </c>
    </row>
    <row r="24" spans="1:28" ht="13.5" customHeight="1">
      <c r="A24" s="20">
        <v>20</v>
      </c>
      <c r="B24" s="21" t="s">
        <v>25</v>
      </c>
      <c r="C24" s="278">
        <v>1386</v>
      </c>
      <c r="D24" s="279">
        <v>0</v>
      </c>
      <c r="E24" s="279">
        <v>161</v>
      </c>
      <c r="F24" s="279">
        <v>0</v>
      </c>
      <c r="G24" s="279">
        <v>544</v>
      </c>
      <c r="H24" s="279">
        <v>289</v>
      </c>
      <c r="I24" s="279">
        <v>2821</v>
      </c>
      <c r="J24" s="279">
        <v>562</v>
      </c>
      <c r="K24" s="279">
        <v>471</v>
      </c>
      <c r="L24" s="279">
        <v>572</v>
      </c>
      <c r="M24" s="279">
        <v>31</v>
      </c>
      <c r="N24" s="279">
        <v>39</v>
      </c>
      <c r="O24" s="279">
        <v>1102</v>
      </c>
      <c r="P24" s="279">
        <v>355</v>
      </c>
      <c r="Q24" s="279">
        <v>1235</v>
      </c>
      <c r="R24" s="279">
        <v>558</v>
      </c>
      <c r="S24" s="279">
        <v>716</v>
      </c>
      <c r="T24" s="279">
        <v>660</v>
      </c>
      <c r="U24" s="279">
        <v>11502</v>
      </c>
      <c r="V24" s="280">
        <v>12</v>
      </c>
      <c r="W24" s="281">
        <v>11514</v>
      </c>
      <c r="X24" s="279">
        <v>1547</v>
      </c>
      <c r="Y24" s="279">
        <v>3365</v>
      </c>
      <c r="Z24" s="279">
        <v>6590</v>
      </c>
      <c r="AA24" s="291">
        <v>4396</v>
      </c>
      <c r="AB24" s="296">
        <v>12058.315367507435</v>
      </c>
    </row>
    <row r="25" spans="1:28" ht="13.5" customHeight="1">
      <c r="A25" s="18">
        <v>21</v>
      </c>
      <c r="B25" s="19" t="s">
        <v>26</v>
      </c>
      <c r="C25" s="270">
        <v>858</v>
      </c>
      <c r="D25" s="271">
        <v>3</v>
      </c>
      <c r="E25" s="271">
        <v>75</v>
      </c>
      <c r="F25" s="271">
        <v>88</v>
      </c>
      <c r="G25" s="271">
        <v>4133</v>
      </c>
      <c r="H25" s="271">
        <v>1689</v>
      </c>
      <c r="I25" s="271">
        <v>4161</v>
      </c>
      <c r="J25" s="271">
        <v>3250</v>
      </c>
      <c r="K25" s="271">
        <v>720</v>
      </c>
      <c r="L25" s="271">
        <v>2585</v>
      </c>
      <c r="M25" s="271">
        <v>22</v>
      </c>
      <c r="N25" s="271">
        <v>626</v>
      </c>
      <c r="O25" s="271">
        <v>13108</v>
      </c>
      <c r="P25" s="271">
        <v>1940</v>
      </c>
      <c r="Q25" s="271">
        <v>2811</v>
      </c>
      <c r="R25" s="271">
        <v>3775</v>
      </c>
      <c r="S25" s="271">
        <v>3781</v>
      </c>
      <c r="T25" s="271">
        <v>5756</v>
      </c>
      <c r="U25" s="271">
        <v>49381</v>
      </c>
      <c r="V25" s="272">
        <v>53</v>
      </c>
      <c r="W25" s="273">
        <v>49434</v>
      </c>
      <c r="X25" s="271">
        <v>936</v>
      </c>
      <c r="Y25" s="271">
        <v>8382</v>
      </c>
      <c r="Z25" s="271">
        <v>40063</v>
      </c>
      <c r="AA25" s="289">
        <v>4238</v>
      </c>
      <c r="AB25" s="294">
        <v>50419.867164796218</v>
      </c>
    </row>
    <row r="26" spans="1:28" ht="13.5" customHeight="1">
      <c r="A26" s="18">
        <v>22</v>
      </c>
      <c r="B26" s="19" t="s">
        <v>27</v>
      </c>
      <c r="C26" s="274">
        <v>34</v>
      </c>
      <c r="D26" s="275">
        <v>0</v>
      </c>
      <c r="E26" s="275">
        <v>3</v>
      </c>
      <c r="F26" s="275">
        <v>10</v>
      </c>
      <c r="G26" s="275">
        <v>742</v>
      </c>
      <c r="H26" s="275">
        <v>752</v>
      </c>
      <c r="I26" s="275">
        <v>1130</v>
      </c>
      <c r="J26" s="275">
        <v>1654</v>
      </c>
      <c r="K26" s="275">
        <v>500</v>
      </c>
      <c r="L26" s="275">
        <v>973</v>
      </c>
      <c r="M26" s="275">
        <v>769</v>
      </c>
      <c r="N26" s="275">
        <v>1086</v>
      </c>
      <c r="O26" s="275">
        <v>3946</v>
      </c>
      <c r="P26" s="275">
        <v>3310</v>
      </c>
      <c r="Q26" s="275">
        <v>9393</v>
      </c>
      <c r="R26" s="275">
        <v>1715</v>
      </c>
      <c r="S26" s="275">
        <v>3568</v>
      </c>
      <c r="T26" s="275">
        <v>1674</v>
      </c>
      <c r="U26" s="275">
        <v>31259</v>
      </c>
      <c r="V26" s="276">
        <v>34</v>
      </c>
      <c r="W26" s="277">
        <v>31293</v>
      </c>
      <c r="X26" s="275">
        <v>37</v>
      </c>
      <c r="Y26" s="275">
        <v>1882</v>
      </c>
      <c r="Z26" s="275">
        <v>29340</v>
      </c>
      <c r="AA26" s="290">
        <v>4032</v>
      </c>
      <c r="AB26" s="295">
        <v>31708.746907588902</v>
      </c>
    </row>
    <row r="27" spans="1:28" ht="13.5" customHeight="1">
      <c r="A27" s="18">
        <v>23</v>
      </c>
      <c r="B27" s="19" t="s">
        <v>28</v>
      </c>
      <c r="C27" s="274">
        <v>2</v>
      </c>
      <c r="D27" s="275">
        <v>1</v>
      </c>
      <c r="E27" s="275">
        <v>51</v>
      </c>
      <c r="F27" s="275">
        <v>3</v>
      </c>
      <c r="G27" s="275">
        <v>594</v>
      </c>
      <c r="H27" s="275">
        <v>3283</v>
      </c>
      <c r="I27" s="275">
        <v>6089</v>
      </c>
      <c r="J27" s="275">
        <v>7300</v>
      </c>
      <c r="K27" s="275">
        <v>663</v>
      </c>
      <c r="L27" s="275">
        <v>4788</v>
      </c>
      <c r="M27" s="275">
        <v>3927</v>
      </c>
      <c r="N27" s="275">
        <v>2032</v>
      </c>
      <c r="O27" s="275">
        <v>13788</v>
      </c>
      <c r="P27" s="275">
        <v>5698</v>
      </c>
      <c r="Q27" s="275">
        <v>2813</v>
      </c>
      <c r="R27" s="275">
        <v>2771</v>
      </c>
      <c r="S27" s="275">
        <v>4317</v>
      </c>
      <c r="T27" s="275">
        <v>6924</v>
      </c>
      <c r="U27" s="275">
        <v>65044</v>
      </c>
      <c r="V27" s="276">
        <v>70</v>
      </c>
      <c r="W27" s="277">
        <v>65114</v>
      </c>
      <c r="X27" s="275">
        <v>54</v>
      </c>
      <c r="Y27" s="275">
        <v>6686</v>
      </c>
      <c r="Z27" s="275">
        <v>58304</v>
      </c>
      <c r="AA27" s="290">
        <v>5126</v>
      </c>
      <c r="AB27" s="295">
        <v>66368.748792986356</v>
      </c>
    </row>
    <row r="28" spans="1:28" ht="13.5" customHeight="1">
      <c r="A28" s="18">
        <v>24</v>
      </c>
      <c r="B28" s="19" t="s">
        <v>29</v>
      </c>
      <c r="C28" s="274">
        <v>33</v>
      </c>
      <c r="D28" s="275">
        <v>0</v>
      </c>
      <c r="E28" s="275">
        <v>55</v>
      </c>
      <c r="F28" s="275">
        <v>10</v>
      </c>
      <c r="G28" s="275">
        <v>253</v>
      </c>
      <c r="H28" s="275">
        <v>630</v>
      </c>
      <c r="I28" s="275">
        <v>1977</v>
      </c>
      <c r="J28" s="275">
        <v>2177</v>
      </c>
      <c r="K28" s="275">
        <v>789</v>
      </c>
      <c r="L28" s="275">
        <v>1396</v>
      </c>
      <c r="M28" s="275">
        <v>393</v>
      </c>
      <c r="N28" s="275">
        <v>517</v>
      </c>
      <c r="O28" s="275">
        <v>5577</v>
      </c>
      <c r="P28" s="275">
        <v>1587</v>
      </c>
      <c r="Q28" s="275">
        <v>1478</v>
      </c>
      <c r="R28" s="275">
        <v>2736</v>
      </c>
      <c r="S28" s="275">
        <v>5487</v>
      </c>
      <c r="T28" s="275">
        <v>1655</v>
      </c>
      <c r="U28" s="275">
        <v>26750</v>
      </c>
      <c r="V28" s="276">
        <v>29</v>
      </c>
      <c r="W28" s="277">
        <v>26779</v>
      </c>
      <c r="X28" s="275">
        <v>88</v>
      </c>
      <c r="Y28" s="275">
        <v>2240</v>
      </c>
      <c r="Z28" s="275">
        <v>24422</v>
      </c>
      <c r="AA28" s="290">
        <v>4560</v>
      </c>
      <c r="AB28" s="295">
        <v>27252.93329249166</v>
      </c>
    </row>
    <row r="29" spans="1:28" ht="13.5" customHeight="1">
      <c r="A29" s="18">
        <v>25</v>
      </c>
      <c r="B29" s="19" t="s">
        <v>30</v>
      </c>
      <c r="C29" s="274">
        <v>312</v>
      </c>
      <c r="D29" s="275">
        <v>0</v>
      </c>
      <c r="E29" s="275">
        <v>11</v>
      </c>
      <c r="F29" s="275">
        <v>161</v>
      </c>
      <c r="G29" s="275">
        <v>6211</v>
      </c>
      <c r="H29" s="275">
        <v>1019</v>
      </c>
      <c r="I29" s="275">
        <v>4485</v>
      </c>
      <c r="J29" s="275">
        <v>2717</v>
      </c>
      <c r="K29" s="275">
        <v>818</v>
      </c>
      <c r="L29" s="275">
        <v>490</v>
      </c>
      <c r="M29" s="275">
        <v>783</v>
      </c>
      <c r="N29" s="275">
        <v>243</v>
      </c>
      <c r="O29" s="275">
        <v>5806</v>
      </c>
      <c r="P29" s="275">
        <v>1488</v>
      </c>
      <c r="Q29" s="275">
        <v>1469</v>
      </c>
      <c r="R29" s="275">
        <v>1350</v>
      </c>
      <c r="S29" s="275">
        <v>8226</v>
      </c>
      <c r="T29" s="275">
        <v>2815</v>
      </c>
      <c r="U29" s="275">
        <v>38404</v>
      </c>
      <c r="V29" s="276">
        <v>41</v>
      </c>
      <c r="W29" s="277">
        <v>38445</v>
      </c>
      <c r="X29" s="275">
        <v>323</v>
      </c>
      <c r="Y29" s="275">
        <v>10857</v>
      </c>
      <c r="Z29" s="275">
        <v>27224</v>
      </c>
      <c r="AA29" s="290">
        <v>5422</v>
      </c>
      <c r="AB29" s="295">
        <v>43158.932730570748</v>
      </c>
    </row>
    <row r="30" spans="1:28" ht="13.5" customHeight="1">
      <c r="A30" s="20">
        <v>26</v>
      </c>
      <c r="B30" s="21" t="s">
        <v>31</v>
      </c>
      <c r="C30" s="278">
        <v>193</v>
      </c>
      <c r="D30" s="279">
        <v>0</v>
      </c>
      <c r="E30" s="279">
        <v>55</v>
      </c>
      <c r="F30" s="279">
        <v>31</v>
      </c>
      <c r="G30" s="279">
        <v>38571</v>
      </c>
      <c r="H30" s="279">
        <v>3600</v>
      </c>
      <c r="I30" s="279">
        <v>5721</v>
      </c>
      <c r="J30" s="279">
        <v>12380</v>
      </c>
      <c r="K30" s="279">
        <v>3941</v>
      </c>
      <c r="L30" s="279">
        <v>1957</v>
      </c>
      <c r="M30" s="279">
        <v>343</v>
      </c>
      <c r="N30" s="279">
        <v>917</v>
      </c>
      <c r="O30" s="279">
        <v>9543</v>
      </c>
      <c r="P30" s="279">
        <v>3825</v>
      </c>
      <c r="Q30" s="279">
        <v>2559</v>
      </c>
      <c r="R30" s="279">
        <v>18495</v>
      </c>
      <c r="S30" s="279">
        <v>14138</v>
      </c>
      <c r="T30" s="279">
        <v>5031</v>
      </c>
      <c r="U30" s="279">
        <v>121300</v>
      </c>
      <c r="V30" s="280">
        <v>130</v>
      </c>
      <c r="W30" s="281">
        <v>121430</v>
      </c>
      <c r="X30" s="279">
        <v>248</v>
      </c>
      <c r="Y30" s="279">
        <v>44323</v>
      </c>
      <c r="Z30" s="279">
        <v>76729</v>
      </c>
      <c r="AA30" s="291">
        <v>6127</v>
      </c>
      <c r="AB30" s="296">
        <v>123693.66313255155</v>
      </c>
    </row>
    <row r="31" spans="1:28" ht="13.5" customHeight="1">
      <c r="A31" s="18">
        <v>27</v>
      </c>
      <c r="B31" s="19" t="s">
        <v>32</v>
      </c>
      <c r="C31" s="270">
        <v>163</v>
      </c>
      <c r="D31" s="271">
        <v>0</v>
      </c>
      <c r="E31" s="271">
        <v>116</v>
      </c>
      <c r="F31" s="271">
        <v>0</v>
      </c>
      <c r="G31" s="271">
        <v>663</v>
      </c>
      <c r="H31" s="271">
        <v>655</v>
      </c>
      <c r="I31" s="271">
        <v>4560</v>
      </c>
      <c r="J31" s="271">
        <v>3808</v>
      </c>
      <c r="K31" s="271">
        <v>692</v>
      </c>
      <c r="L31" s="271">
        <v>1383</v>
      </c>
      <c r="M31" s="271">
        <v>165</v>
      </c>
      <c r="N31" s="271">
        <v>1563</v>
      </c>
      <c r="O31" s="271">
        <v>5050</v>
      </c>
      <c r="P31" s="271">
        <v>1167</v>
      </c>
      <c r="Q31" s="271">
        <v>2795</v>
      </c>
      <c r="R31" s="271">
        <v>2373</v>
      </c>
      <c r="S31" s="271">
        <v>5344</v>
      </c>
      <c r="T31" s="271">
        <v>1639</v>
      </c>
      <c r="U31" s="271">
        <v>32136</v>
      </c>
      <c r="V31" s="272">
        <v>35</v>
      </c>
      <c r="W31" s="273">
        <v>32171</v>
      </c>
      <c r="X31" s="271">
        <v>279</v>
      </c>
      <c r="Y31" s="271">
        <v>5223</v>
      </c>
      <c r="Z31" s="271">
        <v>26634</v>
      </c>
      <c r="AA31" s="289">
        <v>5421</v>
      </c>
      <c r="AB31" s="294">
        <v>32531.681688584613</v>
      </c>
    </row>
    <row r="32" spans="1:28" ht="13.5" customHeight="1">
      <c r="A32" s="18">
        <v>28</v>
      </c>
      <c r="B32" s="19" t="s">
        <v>33</v>
      </c>
      <c r="C32" s="274">
        <v>740</v>
      </c>
      <c r="D32" s="275">
        <v>14</v>
      </c>
      <c r="E32" s="275">
        <v>0</v>
      </c>
      <c r="F32" s="275">
        <v>13</v>
      </c>
      <c r="G32" s="275">
        <v>4056</v>
      </c>
      <c r="H32" s="275">
        <v>2038</v>
      </c>
      <c r="I32" s="275">
        <v>6795</v>
      </c>
      <c r="J32" s="275">
        <v>11150</v>
      </c>
      <c r="K32" s="275">
        <v>2789</v>
      </c>
      <c r="L32" s="275">
        <v>2482</v>
      </c>
      <c r="M32" s="275">
        <v>284</v>
      </c>
      <c r="N32" s="275">
        <v>1170</v>
      </c>
      <c r="O32" s="275">
        <v>8309</v>
      </c>
      <c r="P32" s="275">
        <v>3038</v>
      </c>
      <c r="Q32" s="275">
        <v>2722</v>
      </c>
      <c r="R32" s="275">
        <v>4853</v>
      </c>
      <c r="S32" s="275">
        <v>20465</v>
      </c>
      <c r="T32" s="275">
        <v>7163</v>
      </c>
      <c r="U32" s="275">
        <v>78081</v>
      </c>
      <c r="V32" s="276">
        <v>84</v>
      </c>
      <c r="W32" s="277">
        <v>78165</v>
      </c>
      <c r="X32" s="275">
        <v>754</v>
      </c>
      <c r="Y32" s="275">
        <v>10864</v>
      </c>
      <c r="Z32" s="275">
        <v>66463</v>
      </c>
      <c r="AA32" s="290">
        <v>4747</v>
      </c>
      <c r="AB32" s="295">
        <v>79494.457979680694</v>
      </c>
    </row>
    <row r="33" spans="1:28" ht="13.5" customHeight="1">
      <c r="A33" s="18">
        <v>29</v>
      </c>
      <c r="B33" s="19" t="s">
        <v>34</v>
      </c>
      <c r="C33" s="274">
        <v>3</v>
      </c>
      <c r="D33" s="275">
        <v>1</v>
      </c>
      <c r="E33" s="275">
        <v>20</v>
      </c>
      <c r="F33" s="275">
        <v>0</v>
      </c>
      <c r="G33" s="275">
        <v>16</v>
      </c>
      <c r="H33" s="275">
        <v>208</v>
      </c>
      <c r="I33" s="275">
        <v>200</v>
      </c>
      <c r="J33" s="275">
        <v>34</v>
      </c>
      <c r="K33" s="275">
        <v>211</v>
      </c>
      <c r="L33" s="275">
        <v>437</v>
      </c>
      <c r="M33" s="275">
        <v>0</v>
      </c>
      <c r="N33" s="275">
        <v>6</v>
      </c>
      <c r="O33" s="275">
        <v>110</v>
      </c>
      <c r="P33" s="275">
        <v>45</v>
      </c>
      <c r="Q33" s="275">
        <v>368</v>
      </c>
      <c r="R33" s="275">
        <v>285</v>
      </c>
      <c r="S33" s="275">
        <v>84</v>
      </c>
      <c r="T33" s="275">
        <v>596</v>
      </c>
      <c r="U33" s="275">
        <v>2624</v>
      </c>
      <c r="V33" s="276">
        <v>2</v>
      </c>
      <c r="W33" s="277">
        <v>2626</v>
      </c>
      <c r="X33" s="275">
        <v>24</v>
      </c>
      <c r="Y33" s="275">
        <v>216</v>
      </c>
      <c r="Z33" s="275">
        <v>2384</v>
      </c>
      <c r="AA33" s="290">
        <v>4648</v>
      </c>
      <c r="AB33" s="295">
        <v>2767.7012692153203</v>
      </c>
    </row>
    <row r="34" spans="1:28" ht="13.5" customHeight="1">
      <c r="A34" s="18">
        <v>30</v>
      </c>
      <c r="B34" s="19" t="s">
        <v>35</v>
      </c>
      <c r="C34" s="274">
        <v>3</v>
      </c>
      <c r="D34" s="275">
        <v>0</v>
      </c>
      <c r="E34" s="275">
        <v>20</v>
      </c>
      <c r="F34" s="275">
        <v>0</v>
      </c>
      <c r="G34" s="275">
        <v>25</v>
      </c>
      <c r="H34" s="275">
        <v>175</v>
      </c>
      <c r="I34" s="275">
        <v>268</v>
      </c>
      <c r="J34" s="275">
        <v>78</v>
      </c>
      <c r="K34" s="275">
        <v>229</v>
      </c>
      <c r="L34" s="275">
        <v>605</v>
      </c>
      <c r="M34" s="275">
        <v>0</v>
      </c>
      <c r="N34" s="275">
        <v>11</v>
      </c>
      <c r="O34" s="275">
        <v>207</v>
      </c>
      <c r="P34" s="275">
        <v>161</v>
      </c>
      <c r="Q34" s="275">
        <v>383</v>
      </c>
      <c r="R34" s="275">
        <v>488</v>
      </c>
      <c r="S34" s="275">
        <v>177</v>
      </c>
      <c r="T34" s="275">
        <v>736</v>
      </c>
      <c r="U34" s="275">
        <v>3566</v>
      </c>
      <c r="V34" s="276">
        <v>4</v>
      </c>
      <c r="W34" s="277">
        <v>3570</v>
      </c>
      <c r="X34" s="275">
        <v>23</v>
      </c>
      <c r="Y34" s="275">
        <v>293</v>
      </c>
      <c r="Z34" s="275">
        <v>3250</v>
      </c>
      <c r="AA34" s="290">
        <v>6010</v>
      </c>
      <c r="AB34" s="295">
        <v>3697.669527250061</v>
      </c>
    </row>
    <row r="35" spans="1:28" ht="13.5" customHeight="1">
      <c r="A35" s="18">
        <v>31</v>
      </c>
      <c r="B35" s="19" t="s">
        <v>36</v>
      </c>
      <c r="C35" s="274">
        <v>39</v>
      </c>
      <c r="D35" s="275">
        <v>0</v>
      </c>
      <c r="E35" s="275">
        <v>7</v>
      </c>
      <c r="F35" s="275">
        <v>13</v>
      </c>
      <c r="G35" s="275">
        <v>149</v>
      </c>
      <c r="H35" s="275">
        <v>64</v>
      </c>
      <c r="I35" s="275">
        <v>141</v>
      </c>
      <c r="J35" s="275">
        <v>22</v>
      </c>
      <c r="K35" s="275">
        <v>129</v>
      </c>
      <c r="L35" s="275">
        <v>86</v>
      </c>
      <c r="M35" s="275">
        <v>0</v>
      </c>
      <c r="N35" s="275">
        <v>6</v>
      </c>
      <c r="O35" s="275">
        <v>211</v>
      </c>
      <c r="P35" s="275">
        <v>5</v>
      </c>
      <c r="Q35" s="275">
        <v>420</v>
      </c>
      <c r="R35" s="275">
        <v>268</v>
      </c>
      <c r="S35" s="275">
        <v>188</v>
      </c>
      <c r="T35" s="275">
        <v>80</v>
      </c>
      <c r="U35" s="275">
        <v>1828</v>
      </c>
      <c r="V35" s="276">
        <v>2</v>
      </c>
      <c r="W35" s="277">
        <v>1830</v>
      </c>
      <c r="X35" s="275">
        <v>46</v>
      </c>
      <c r="Y35" s="275">
        <v>303</v>
      </c>
      <c r="Z35" s="275">
        <v>1479</v>
      </c>
      <c r="AA35" s="290">
        <v>4519</v>
      </c>
      <c r="AB35" s="295">
        <v>1894.8991086405144</v>
      </c>
    </row>
    <row r="36" spans="1:28" ht="13.5" customHeight="1">
      <c r="A36" s="18">
        <v>32</v>
      </c>
      <c r="B36" s="19" t="s">
        <v>37</v>
      </c>
      <c r="C36" s="274">
        <v>3</v>
      </c>
      <c r="D36" s="275">
        <v>0</v>
      </c>
      <c r="E36" s="275">
        <v>81</v>
      </c>
      <c r="F36" s="275">
        <v>0</v>
      </c>
      <c r="G36" s="275">
        <v>0</v>
      </c>
      <c r="H36" s="275">
        <v>47</v>
      </c>
      <c r="I36" s="275">
        <v>599</v>
      </c>
      <c r="J36" s="275">
        <v>14</v>
      </c>
      <c r="K36" s="275">
        <v>30</v>
      </c>
      <c r="L36" s="275">
        <v>45</v>
      </c>
      <c r="M36" s="275">
        <v>0</v>
      </c>
      <c r="N36" s="275">
        <v>6</v>
      </c>
      <c r="O36" s="275">
        <v>67</v>
      </c>
      <c r="P36" s="275">
        <v>0</v>
      </c>
      <c r="Q36" s="275">
        <v>311</v>
      </c>
      <c r="R36" s="275">
        <v>193</v>
      </c>
      <c r="S36" s="275">
        <v>122</v>
      </c>
      <c r="T36" s="275">
        <v>16</v>
      </c>
      <c r="U36" s="275">
        <v>1534</v>
      </c>
      <c r="V36" s="276">
        <v>1</v>
      </c>
      <c r="W36" s="277">
        <v>1535</v>
      </c>
      <c r="X36" s="275">
        <v>84</v>
      </c>
      <c r="Y36" s="275">
        <v>599</v>
      </c>
      <c r="Z36" s="275">
        <v>851</v>
      </c>
      <c r="AA36" s="290">
        <v>5522</v>
      </c>
      <c r="AB36" s="295">
        <v>1596.3518620914183</v>
      </c>
    </row>
    <row r="37" spans="1:28" ht="13.5" customHeight="1">
      <c r="A37" s="18">
        <v>33</v>
      </c>
      <c r="B37" s="19" t="s">
        <v>38</v>
      </c>
      <c r="C37" s="274">
        <v>870</v>
      </c>
      <c r="D37" s="275">
        <v>0</v>
      </c>
      <c r="E37" s="275">
        <v>27</v>
      </c>
      <c r="F37" s="275">
        <v>31</v>
      </c>
      <c r="G37" s="275">
        <v>1216</v>
      </c>
      <c r="H37" s="275">
        <v>234</v>
      </c>
      <c r="I37" s="275">
        <v>1216</v>
      </c>
      <c r="J37" s="275">
        <v>207</v>
      </c>
      <c r="K37" s="275">
        <v>90</v>
      </c>
      <c r="L37" s="275">
        <v>169</v>
      </c>
      <c r="M37" s="275">
        <v>0</v>
      </c>
      <c r="N37" s="275">
        <v>6</v>
      </c>
      <c r="O37" s="275">
        <v>121</v>
      </c>
      <c r="P37" s="275">
        <v>50</v>
      </c>
      <c r="Q37" s="275">
        <v>762</v>
      </c>
      <c r="R37" s="275">
        <v>301</v>
      </c>
      <c r="S37" s="275">
        <v>160</v>
      </c>
      <c r="T37" s="275">
        <v>172</v>
      </c>
      <c r="U37" s="275">
        <v>5632</v>
      </c>
      <c r="V37" s="276">
        <v>6</v>
      </c>
      <c r="W37" s="277">
        <v>5638</v>
      </c>
      <c r="X37" s="275">
        <v>897</v>
      </c>
      <c r="Y37" s="275">
        <v>2463</v>
      </c>
      <c r="Z37" s="275">
        <v>2272</v>
      </c>
      <c r="AA37" s="290">
        <v>5329</v>
      </c>
      <c r="AB37" s="295">
        <v>5926.6554096508125</v>
      </c>
    </row>
    <row r="38" spans="1:28" ht="13.5" customHeight="1">
      <c r="A38" s="18">
        <v>34</v>
      </c>
      <c r="B38" s="19" t="s">
        <v>39</v>
      </c>
      <c r="C38" s="274">
        <v>307</v>
      </c>
      <c r="D38" s="275">
        <v>0</v>
      </c>
      <c r="E38" s="275">
        <v>7</v>
      </c>
      <c r="F38" s="275">
        <v>0</v>
      </c>
      <c r="G38" s="275">
        <v>348</v>
      </c>
      <c r="H38" s="275">
        <v>80</v>
      </c>
      <c r="I38" s="275">
        <v>1697</v>
      </c>
      <c r="J38" s="275">
        <v>53</v>
      </c>
      <c r="K38" s="275">
        <v>106</v>
      </c>
      <c r="L38" s="275">
        <v>135</v>
      </c>
      <c r="M38" s="275">
        <v>0</v>
      </c>
      <c r="N38" s="275">
        <v>6</v>
      </c>
      <c r="O38" s="275">
        <v>29</v>
      </c>
      <c r="P38" s="275">
        <v>5</v>
      </c>
      <c r="Q38" s="275">
        <v>343</v>
      </c>
      <c r="R38" s="275">
        <v>250</v>
      </c>
      <c r="S38" s="275">
        <v>106</v>
      </c>
      <c r="T38" s="275">
        <v>48</v>
      </c>
      <c r="U38" s="275">
        <v>3520</v>
      </c>
      <c r="V38" s="276">
        <v>3</v>
      </c>
      <c r="W38" s="277">
        <v>3523</v>
      </c>
      <c r="X38" s="275">
        <v>314</v>
      </c>
      <c r="Y38" s="275">
        <v>2045</v>
      </c>
      <c r="Z38" s="275">
        <v>1161</v>
      </c>
      <c r="AA38" s="290">
        <v>6095</v>
      </c>
      <c r="AB38" s="295">
        <v>3684.9555494665497</v>
      </c>
    </row>
    <row r="39" spans="1:28" ht="13.5" customHeight="1">
      <c r="A39" s="18">
        <v>35</v>
      </c>
      <c r="B39" s="19" t="s">
        <v>40</v>
      </c>
      <c r="C39" s="274">
        <v>116</v>
      </c>
      <c r="D39" s="275">
        <v>1</v>
      </c>
      <c r="E39" s="275">
        <v>79</v>
      </c>
      <c r="F39" s="275">
        <v>0</v>
      </c>
      <c r="G39" s="275">
        <v>330</v>
      </c>
      <c r="H39" s="275">
        <v>114</v>
      </c>
      <c r="I39" s="275">
        <v>858</v>
      </c>
      <c r="J39" s="275">
        <v>173</v>
      </c>
      <c r="K39" s="275">
        <v>180</v>
      </c>
      <c r="L39" s="275">
        <v>101</v>
      </c>
      <c r="M39" s="275">
        <v>0</v>
      </c>
      <c r="N39" s="275">
        <v>6</v>
      </c>
      <c r="O39" s="275">
        <v>152</v>
      </c>
      <c r="P39" s="275">
        <v>108</v>
      </c>
      <c r="Q39" s="275">
        <v>545</v>
      </c>
      <c r="R39" s="275">
        <v>414</v>
      </c>
      <c r="S39" s="275">
        <v>157</v>
      </c>
      <c r="T39" s="275">
        <v>129</v>
      </c>
      <c r="U39" s="275">
        <v>3463</v>
      </c>
      <c r="V39" s="276">
        <v>4</v>
      </c>
      <c r="W39" s="277">
        <v>3467</v>
      </c>
      <c r="X39" s="275">
        <v>196</v>
      </c>
      <c r="Y39" s="275">
        <v>1188</v>
      </c>
      <c r="Z39" s="275">
        <v>2079</v>
      </c>
      <c r="AA39" s="290">
        <v>4890</v>
      </c>
      <c r="AB39" s="295">
        <v>3593.1257508338067</v>
      </c>
    </row>
    <row r="40" spans="1:28" ht="13.5" customHeight="1">
      <c r="A40" s="18">
        <v>36</v>
      </c>
      <c r="B40" s="19" t="s">
        <v>41</v>
      </c>
      <c r="C40" s="274">
        <v>378</v>
      </c>
      <c r="D40" s="275">
        <v>0</v>
      </c>
      <c r="E40" s="275">
        <v>93</v>
      </c>
      <c r="F40" s="275">
        <v>0</v>
      </c>
      <c r="G40" s="275">
        <v>211</v>
      </c>
      <c r="H40" s="275">
        <v>64</v>
      </c>
      <c r="I40" s="275">
        <v>621</v>
      </c>
      <c r="J40" s="275">
        <v>132</v>
      </c>
      <c r="K40" s="275">
        <v>367</v>
      </c>
      <c r="L40" s="275">
        <v>152</v>
      </c>
      <c r="M40" s="275">
        <v>0</v>
      </c>
      <c r="N40" s="275">
        <v>6</v>
      </c>
      <c r="O40" s="275">
        <v>292</v>
      </c>
      <c r="P40" s="275">
        <v>23</v>
      </c>
      <c r="Q40" s="275">
        <v>655</v>
      </c>
      <c r="R40" s="275">
        <v>329</v>
      </c>
      <c r="S40" s="275">
        <v>322</v>
      </c>
      <c r="T40" s="275">
        <v>165</v>
      </c>
      <c r="U40" s="275">
        <v>3810</v>
      </c>
      <c r="V40" s="276">
        <v>4</v>
      </c>
      <c r="W40" s="277">
        <v>3814</v>
      </c>
      <c r="X40" s="275">
        <v>471</v>
      </c>
      <c r="Y40" s="275">
        <v>832</v>
      </c>
      <c r="Z40" s="275">
        <v>2507</v>
      </c>
      <c r="AA40" s="290">
        <v>4471</v>
      </c>
      <c r="AB40" s="295">
        <v>4008.7445583630333</v>
      </c>
    </row>
    <row r="41" spans="1:28" ht="13.5" customHeight="1">
      <c r="A41" s="18">
        <v>37</v>
      </c>
      <c r="B41" s="19" t="s">
        <v>49</v>
      </c>
      <c r="C41" s="274">
        <v>1033</v>
      </c>
      <c r="D41" s="275">
        <v>0</v>
      </c>
      <c r="E41" s="275">
        <v>463</v>
      </c>
      <c r="F41" s="275">
        <v>13</v>
      </c>
      <c r="G41" s="275">
        <v>1156</v>
      </c>
      <c r="H41" s="275">
        <v>1151</v>
      </c>
      <c r="I41" s="275">
        <v>2358</v>
      </c>
      <c r="J41" s="275">
        <v>1078</v>
      </c>
      <c r="K41" s="275">
        <v>980</v>
      </c>
      <c r="L41" s="275">
        <v>1066</v>
      </c>
      <c r="M41" s="275">
        <v>0</v>
      </c>
      <c r="N41" s="275">
        <v>206</v>
      </c>
      <c r="O41" s="275">
        <v>1951</v>
      </c>
      <c r="P41" s="275">
        <v>697</v>
      </c>
      <c r="Q41" s="275">
        <v>3862</v>
      </c>
      <c r="R41" s="275">
        <v>1808</v>
      </c>
      <c r="S41" s="275">
        <v>1259</v>
      </c>
      <c r="T41" s="275">
        <v>972</v>
      </c>
      <c r="U41" s="275">
        <v>20053</v>
      </c>
      <c r="V41" s="276">
        <v>22</v>
      </c>
      <c r="W41" s="277">
        <v>20075</v>
      </c>
      <c r="X41" s="275">
        <v>1496</v>
      </c>
      <c r="Y41" s="275">
        <v>3527</v>
      </c>
      <c r="Z41" s="275">
        <v>15030</v>
      </c>
      <c r="AA41" s="290">
        <v>4220</v>
      </c>
      <c r="AB41" s="295">
        <v>20871.396016116269</v>
      </c>
    </row>
    <row r="42" spans="1:28" ht="13.5" customHeight="1">
      <c r="A42" s="20">
        <v>38</v>
      </c>
      <c r="B42" s="21" t="s">
        <v>50</v>
      </c>
      <c r="C42" s="278">
        <v>2905</v>
      </c>
      <c r="D42" s="279">
        <v>0</v>
      </c>
      <c r="E42" s="279">
        <v>139</v>
      </c>
      <c r="F42" s="279">
        <v>39</v>
      </c>
      <c r="G42" s="279">
        <v>1365</v>
      </c>
      <c r="H42" s="279">
        <v>1429</v>
      </c>
      <c r="I42" s="279">
        <v>5510</v>
      </c>
      <c r="J42" s="279">
        <v>2685</v>
      </c>
      <c r="K42" s="279">
        <v>1250</v>
      </c>
      <c r="L42" s="279">
        <v>603</v>
      </c>
      <c r="M42" s="279">
        <v>59</v>
      </c>
      <c r="N42" s="279">
        <v>282</v>
      </c>
      <c r="O42" s="279">
        <v>7141</v>
      </c>
      <c r="P42" s="279">
        <v>1828</v>
      </c>
      <c r="Q42" s="279">
        <v>6600</v>
      </c>
      <c r="R42" s="279">
        <v>4675</v>
      </c>
      <c r="S42" s="279">
        <v>7133</v>
      </c>
      <c r="T42" s="279">
        <v>2762</v>
      </c>
      <c r="U42" s="279">
        <v>46405</v>
      </c>
      <c r="V42" s="280">
        <v>50</v>
      </c>
      <c r="W42" s="281">
        <v>46455</v>
      </c>
      <c r="X42" s="279">
        <v>3044</v>
      </c>
      <c r="Y42" s="279">
        <v>6914</v>
      </c>
      <c r="Z42" s="279">
        <v>36447</v>
      </c>
      <c r="AA42" s="291">
        <v>5211</v>
      </c>
      <c r="AB42" s="296">
        <v>47621.887024982774</v>
      </c>
    </row>
    <row r="43" spans="1:28" ht="13.5" customHeight="1">
      <c r="A43" s="20">
        <v>39</v>
      </c>
      <c r="B43" s="21" t="s">
        <v>42</v>
      </c>
      <c r="C43" s="266">
        <v>533</v>
      </c>
      <c r="D43" s="267">
        <v>0</v>
      </c>
      <c r="E43" s="267">
        <v>3</v>
      </c>
      <c r="F43" s="267">
        <v>0</v>
      </c>
      <c r="G43" s="267">
        <v>977</v>
      </c>
      <c r="H43" s="267">
        <v>91</v>
      </c>
      <c r="I43" s="267">
        <v>393</v>
      </c>
      <c r="J43" s="267">
        <v>97</v>
      </c>
      <c r="K43" s="267">
        <v>131</v>
      </c>
      <c r="L43" s="267">
        <v>75</v>
      </c>
      <c r="M43" s="267">
        <v>0</v>
      </c>
      <c r="N43" s="267">
        <v>6</v>
      </c>
      <c r="O43" s="267">
        <v>237</v>
      </c>
      <c r="P43" s="267">
        <v>34</v>
      </c>
      <c r="Q43" s="267">
        <v>590</v>
      </c>
      <c r="R43" s="267">
        <v>310</v>
      </c>
      <c r="S43" s="267">
        <v>159</v>
      </c>
      <c r="T43" s="267">
        <v>97</v>
      </c>
      <c r="U43" s="267">
        <v>3733</v>
      </c>
      <c r="V43" s="268">
        <v>4</v>
      </c>
      <c r="W43" s="269">
        <v>3737</v>
      </c>
      <c r="X43" s="267">
        <v>536</v>
      </c>
      <c r="Y43" s="267">
        <v>1370</v>
      </c>
      <c r="Z43" s="267">
        <v>1827</v>
      </c>
      <c r="AA43" s="288">
        <v>5071</v>
      </c>
      <c r="AB43" s="293">
        <v>3907.5517402331848</v>
      </c>
    </row>
    <row r="44" spans="1:28" ht="13.5" customHeight="1">
      <c r="A44" s="18">
        <v>40</v>
      </c>
      <c r="B44" s="19" t="s">
        <v>43</v>
      </c>
      <c r="C44" s="270">
        <v>1018</v>
      </c>
      <c r="D44" s="271">
        <v>5</v>
      </c>
      <c r="E44" s="271">
        <v>29</v>
      </c>
      <c r="F44" s="271">
        <v>0</v>
      </c>
      <c r="G44" s="271">
        <v>885</v>
      </c>
      <c r="H44" s="271">
        <v>332</v>
      </c>
      <c r="I44" s="271">
        <v>2530</v>
      </c>
      <c r="J44" s="271">
        <v>332</v>
      </c>
      <c r="K44" s="271">
        <v>1080</v>
      </c>
      <c r="L44" s="271">
        <v>2471</v>
      </c>
      <c r="M44" s="271">
        <v>0</v>
      </c>
      <c r="N44" s="271">
        <v>56</v>
      </c>
      <c r="O44" s="271">
        <v>1062</v>
      </c>
      <c r="P44" s="271">
        <v>886</v>
      </c>
      <c r="Q44" s="271">
        <v>527</v>
      </c>
      <c r="R44" s="271">
        <v>1804</v>
      </c>
      <c r="S44" s="271">
        <v>388</v>
      </c>
      <c r="T44" s="271">
        <v>1670</v>
      </c>
      <c r="U44" s="271">
        <v>15075</v>
      </c>
      <c r="V44" s="272">
        <v>16</v>
      </c>
      <c r="W44" s="273">
        <v>15091</v>
      </c>
      <c r="X44" s="271">
        <v>1052</v>
      </c>
      <c r="Y44" s="271">
        <v>3415</v>
      </c>
      <c r="Z44" s="271">
        <v>10608</v>
      </c>
      <c r="AA44" s="289">
        <v>5602</v>
      </c>
      <c r="AB44" s="294">
        <v>15808.780219375683</v>
      </c>
    </row>
    <row r="45" spans="1:28" ht="13.5" customHeight="1">
      <c r="A45" s="20">
        <v>41</v>
      </c>
      <c r="B45" s="21" t="s">
        <v>44</v>
      </c>
      <c r="C45" s="278">
        <v>230</v>
      </c>
      <c r="D45" s="279">
        <v>0</v>
      </c>
      <c r="E45" s="279">
        <v>113</v>
      </c>
      <c r="F45" s="279">
        <v>3</v>
      </c>
      <c r="G45" s="279">
        <v>528</v>
      </c>
      <c r="H45" s="279">
        <v>275</v>
      </c>
      <c r="I45" s="279">
        <v>889</v>
      </c>
      <c r="J45" s="279">
        <v>173</v>
      </c>
      <c r="K45" s="279">
        <v>398</v>
      </c>
      <c r="L45" s="279">
        <v>343</v>
      </c>
      <c r="M45" s="279">
        <v>0</v>
      </c>
      <c r="N45" s="279">
        <v>12</v>
      </c>
      <c r="O45" s="279">
        <v>354</v>
      </c>
      <c r="P45" s="279">
        <v>103</v>
      </c>
      <c r="Q45" s="279">
        <v>830</v>
      </c>
      <c r="R45" s="279">
        <v>694</v>
      </c>
      <c r="S45" s="279">
        <v>354</v>
      </c>
      <c r="T45" s="279">
        <v>319</v>
      </c>
      <c r="U45" s="279">
        <v>5618</v>
      </c>
      <c r="V45" s="280">
        <v>6</v>
      </c>
      <c r="W45" s="281">
        <v>5624</v>
      </c>
      <c r="X45" s="279">
        <v>343</v>
      </c>
      <c r="Y45" s="279">
        <v>1420</v>
      </c>
      <c r="Z45" s="279">
        <v>3855</v>
      </c>
      <c r="AA45" s="291">
        <v>4428</v>
      </c>
      <c r="AB45" s="296">
        <v>5847.3207096613842</v>
      </c>
    </row>
    <row r="46" spans="1:28" ht="15.75" customHeight="1">
      <c r="A46" s="123" t="s">
        <v>146</v>
      </c>
      <c r="B46" s="7" t="s">
        <v>152</v>
      </c>
      <c r="C46" s="270">
        <v>13938</v>
      </c>
      <c r="D46" s="271">
        <v>194</v>
      </c>
      <c r="E46" s="271">
        <v>1738</v>
      </c>
      <c r="F46" s="271">
        <v>972</v>
      </c>
      <c r="G46" s="271">
        <v>24608</v>
      </c>
      <c r="H46" s="271">
        <v>19664</v>
      </c>
      <c r="I46" s="271">
        <v>38217</v>
      </c>
      <c r="J46" s="271">
        <v>20122</v>
      </c>
      <c r="K46" s="271">
        <v>10823</v>
      </c>
      <c r="L46" s="271">
        <v>23508</v>
      </c>
      <c r="M46" s="271">
        <v>2166</v>
      </c>
      <c r="N46" s="271">
        <v>6053</v>
      </c>
      <c r="O46" s="271">
        <v>36459</v>
      </c>
      <c r="P46" s="271">
        <v>26701</v>
      </c>
      <c r="Q46" s="271">
        <v>27644</v>
      </c>
      <c r="R46" s="271">
        <v>27402</v>
      </c>
      <c r="S46" s="271">
        <v>43192</v>
      </c>
      <c r="T46" s="271">
        <v>23005</v>
      </c>
      <c r="U46" s="271">
        <v>346406</v>
      </c>
      <c r="V46" s="272">
        <v>372</v>
      </c>
      <c r="W46" s="273">
        <v>346778</v>
      </c>
      <c r="X46" s="271">
        <v>15870</v>
      </c>
      <c r="Y46" s="271">
        <v>63797</v>
      </c>
      <c r="Z46" s="271">
        <v>266739</v>
      </c>
      <c r="AA46" s="289">
        <v>5104</v>
      </c>
      <c r="AB46" s="294">
        <v>360591.41178931546</v>
      </c>
    </row>
    <row r="47" spans="1:28" ht="15.75" customHeight="1">
      <c r="A47" s="124" t="s">
        <v>147</v>
      </c>
      <c r="B47" s="17" t="s">
        <v>153</v>
      </c>
      <c r="C47" s="274">
        <v>5238</v>
      </c>
      <c r="D47" s="275">
        <v>11</v>
      </c>
      <c r="E47" s="275">
        <v>1219</v>
      </c>
      <c r="F47" s="275">
        <v>1106</v>
      </c>
      <c r="G47" s="275">
        <v>105170</v>
      </c>
      <c r="H47" s="275">
        <v>70399</v>
      </c>
      <c r="I47" s="275">
        <v>88778</v>
      </c>
      <c r="J47" s="275">
        <v>169085</v>
      </c>
      <c r="K47" s="275">
        <v>44003</v>
      </c>
      <c r="L47" s="275">
        <v>46588</v>
      </c>
      <c r="M47" s="275">
        <v>48297</v>
      </c>
      <c r="N47" s="275">
        <v>33246</v>
      </c>
      <c r="O47" s="275">
        <v>195122</v>
      </c>
      <c r="P47" s="275">
        <v>111409</v>
      </c>
      <c r="Q47" s="275">
        <v>90271</v>
      </c>
      <c r="R47" s="275">
        <v>93336</v>
      </c>
      <c r="S47" s="275">
        <v>166726</v>
      </c>
      <c r="T47" s="275">
        <v>86906</v>
      </c>
      <c r="U47" s="275">
        <v>1356910</v>
      </c>
      <c r="V47" s="276">
        <v>1459</v>
      </c>
      <c r="W47" s="277">
        <v>1358369</v>
      </c>
      <c r="X47" s="275">
        <v>6468</v>
      </c>
      <c r="Y47" s="275">
        <v>195054</v>
      </c>
      <c r="Z47" s="275">
        <v>1155388</v>
      </c>
      <c r="AA47" s="290">
        <v>5563</v>
      </c>
      <c r="AB47" s="295">
        <v>1397053.9005246819</v>
      </c>
    </row>
    <row r="48" spans="1:28" ht="15.75" customHeight="1">
      <c r="A48" s="124" t="s">
        <v>148</v>
      </c>
      <c r="B48" s="17" t="s">
        <v>154</v>
      </c>
      <c r="C48" s="274">
        <v>13484</v>
      </c>
      <c r="D48" s="275">
        <v>20</v>
      </c>
      <c r="E48" s="275">
        <v>1917</v>
      </c>
      <c r="F48" s="275">
        <v>586</v>
      </c>
      <c r="G48" s="275">
        <v>44850</v>
      </c>
      <c r="H48" s="275">
        <v>14380</v>
      </c>
      <c r="I48" s="275">
        <v>48801</v>
      </c>
      <c r="J48" s="275">
        <v>46633</v>
      </c>
      <c r="K48" s="275">
        <v>21952</v>
      </c>
      <c r="L48" s="275">
        <v>14583</v>
      </c>
      <c r="M48" s="275">
        <v>6907</v>
      </c>
      <c r="N48" s="275">
        <v>6956</v>
      </c>
      <c r="O48" s="275">
        <v>66430</v>
      </c>
      <c r="P48" s="275">
        <v>25455</v>
      </c>
      <c r="Q48" s="275">
        <v>41686</v>
      </c>
      <c r="R48" s="275">
        <v>32523</v>
      </c>
      <c r="S48" s="275">
        <v>79700</v>
      </c>
      <c r="T48" s="275">
        <v>33218</v>
      </c>
      <c r="U48" s="275">
        <v>500081</v>
      </c>
      <c r="V48" s="276">
        <v>538</v>
      </c>
      <c r="W48" s="277">
        <v>500619</v>
      </c>
      <c r="X48" s="275">
        <v>15421</v>
      </c>
      <c r="Y48" s="275">
        <v>94237</v>
      </c>
      <c r="Z48" s="275">
        <v>390423</v>
      </c>
      <c r="AA48" s="290">
        <v>4985</v>
      </c>
      <c r="AB48" s="295">
        <v>512420.50821090868</v>
      </c>
    </row>
    <row r="49" spans="1:28" ht="15.75" customHeight="1">
      <c r="A49" s="124" t="s">
        <v>149</v>
      </c>
      <c r="B49" s="17" t="s">
        <v>155</v>
      </c>
      <c r="C49" s="274">
        <v>321</v>
      </c>
      <c r="D49" s="275">
        <v>23</v>
      </c>
      <c r="E49" s="275">
        <v>1442</v>
      </c>
      <c r="F49" s="275">
        <v>179</v>
      </c>
      <c r="G49" s="275">
        <v>14192</v>
      </c>
      <c r="H49" s="275">
        <v>24858</v>
      </c>
      <c r="I49" s="275">
        <v>46042</v>
      </c>
      <c r="J49" s="275">
        <v>116127</v>
      </c>
      <c r="K49" s="275">
        <v>142559</v>
      </c>
      <c r="L49" s="275">
        <v>50099</v>
      </c>
      <c r="M49" s="275">
        <v>116084</v>
      </c>
      <c r="N49" s="275">
        <v>92335</v>
      </c>
      <c r="O49" s="275">
        <v>127423</v>
      </c>
      <c r="P49" s="275">
        <v>133386</v>
      </c>
      <c r="Q49" s="275">
        <v>177201</v>
      </c>
      <c r="R49" s="275">
        <v>39159</v>
      </c>
      <c r="S49" s="275">
        <v>88480</v>
      </c>
      <c r="T49" s="275">
        <v>58073</v>
      </c>
      <c r="U49" s="275">
        <v>1227983</v>
      </c>
      <c r="V49" s="276">
        <v>1323</v>
      </c>
      <c r="W49" s="277">
        <v>1229306</v>
      </c>
      <c r="X49" s="275">
        <v>1786</v>
      </c>
      <c r="Y49" s="275">
        <v>60413</v>
      </c>
      <c r="Z49" s="275">
        <v>1165784</v>
      </c>
      <c r="AA49" s="290">
        <v>7303</v>
      </c>
      <c r="AB49" s="295">
        <v>1248166.5223758647</v>
      </c>
    </row>
    <row r="50" spans="1:28" ht="15.75" customHeight="1">
      <c r="A50" s="124" t="s">
        <v>150</v>
      </c>
      <c r="B50" s="17" t="s">
        <v>156</v>
      </c>
      <c r="C50" s="274">
        <v>6347</v>
      </c>
      <c r="D50" s="275">
        <v>40</v>
      </c>
      <c r="E50" s="275">
        <v>498</v>
      </c>
      <c r="F50" s="275">
        <v>111</v>
      </c>
      <c r="G50" s="275">
        <v>8738</v>
      </c>
      <c r="H50" s="275">
        <v>5974</v>
      </c>
      <c r="I50" s="275">
        <v>16245</v>
      </c>
      <c r="J50" s="275">
        <v>15916</v>
      </c>
      <c r="K50" s="275">
        <v>7429</v>
      </c>
      <c r="L50" s="275">
        <v>6340</v>
      </c>
      <c r="M50" s="275">
        <v>1599</v>
      </c>
      <c r="N50" s="275">
        <v>2538</v>
      </c>
      <c r="O50" s="275">
        <v>14899</v>
      </c>
      <c r="P50" s="275">
        <v>9363</v>
      </c>
      <c r="Q50" s="275">
        <v>19150</v>
      </c>
      <c r="R50" s="275">
        <v>10435</v>
      </c>
      <c r="S50" s="275">
        <v>17091</v>
      </c>
      <c r="T50" s="275">
        <v>6533</v>
      </c>
      <c r="U50" s="275">
        <v>149246</v>
      </c>
      <c r="V50" s="276">
        <v>160</v>
      </c>
      <c r="W50" s="277">
        <v>149406</v>
      </c>
      <c r="X50" s="275">
        <v>6885</v>
      </c>
      <c r="Y50" s="275">
        <v>25094</v>
      </c>
      <c r="Z50" s="275">
        <v>117267</v>
      </c>
      <c r="AA50" s="290">
        <v>5402</v>
      </c>
      <c r="AB50" s="295">
        <v>154441.23797283636</v>
      </c>
    </row>
    <row r="51" spans="1:28" ht="15.75" customHeight="1">
      <c r="A51" s="125" t="s">
        <v>151</v>
      </c>
      <c r="B51" s="117" t="s">
        <v>157</v>
      </c>
      <c r="C51" s="278">
        <v>5667</v>
      </c>
      <c r="D51" s="279">
        <v>27</v>
      </c>
      <c r="E51" s="279">
        <v>566</v>
      </c>
      <c r="F51" s="279">
        <v>257</v>
      </c>
      <c r="G51" s="279">
        <v>6838</v>
      </c>
      <c r="H51" s="279">
        <v>6235</v>
      </c>
      <c r="I51" s="279">
        <v>16886</v>
      </c>
      <c r="J51" s="279">
        <v>11532</v>
      </c>
      <c r="K51" s="279">
        <v>12944</v>
      </c>
      <c r="L51" s="279">
        <v>12816</v>
      </c>
      <c r="M51" s="279">
        <v>1051</v>
      </c>
      <c r="N51" s="279">
        <v>2812</v>
      </c>
      <c r="O51" s="279">
        <v>17521</v>
      </c>
      <c r="P51" s="279">
        <v>13324</v>
      </c>
      <c r="Q51" s="279">
        <v>16739</v>
      </c>
      <c r="R51" s="279">
        <v>12052</v>
      </c>
      <c r="S51" s="279">
        <v>13164</v>
      </c>
      <c r="T51" s="279">
        <v>8549</v>
      </c>
      <c r="U51" s="279">
        <v>158980</v>
      </c>
      <c r="V51" s="280">
        <v>171</v>
      </c>
      <c r="W51" s="281">
        <v>159151</v>
      </c>
      <c r="X51" s="279">
        <v>6260</v>
      </c>
      <c r="Y51" s="279">
        <v>23981</v>
      </c>
      <c r="Z51" s="279">
        <v>128739</v>
      </c>
      <c r="AA51" s="291">
        <v>5624</v>
      </c>
      <c r="AB51" s="296">
        <v>165440.40064800036</v>
      </c>
    </row>
    <row r="52" spans="1:28" ht="15.75" customHeigh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4" spans="1:28" ht="13.5" customHeight="1">
      <c r="A54" s="56">
        <f>A2+1</f>
        <v>24</v>
      </c>
      <c r="B54" s="51" t="str">
        <f>IF(A54&lt;22,"令和"&amp;A54&amp;"年度","平成"&amp;A54&amp;"年度")</f>
        <v>平成24年度</v>
      </c>
      <c r="C54" s="57" t="str">
        <f>C$2</f>
        <v>経済活動別市町村内総生産（百万円）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"/>
      <c r="Y54" s="2"/>
      <c r="Z54" s="58"/>
      <c r="AA54" s="58"/>
      <c r="AB54" s="58"/>
    </row>
    <row r="55" spans="1:28" ht="45" customHeight="1">
      <c r="A55" s="198"/>
      <c r="B55" s="88"/>
      <c r="C55" s="89" t="s">
        <v>51</v>
      </c>
      <c r="D55" s="89" t="s">
        <v>52</v>
      </c>
      <c r="E55" s="89" t="s">
        <v>53</v>
      </c>
      <c r="F55" s="89" t="s">
        <v>54</v>
      </c>
      <c r="G55" s="89" t="s">
        <v>55</v>
      </c>
      <c r="H55" s="89" t="s">
        <v>56</v>
      </c>
      <c r="I55" s="89" t="s">
        <v>57</v>
      </c>
      <c r="J55" s="89" t="s">
        <v>58</v>
      </c>
      <c r="K55" s="89" t="s">
        <v>59</v>
      </c>
      <c r="L55" s="89" t="s">
        <v>60</v>
      </c>
      <c r="M55" s="89" t="s">
        <v>61</v>
      </c>
      <c r="N55" s="89" t="s">
        <v>62</v>
      </c>
      <c r="O55" s="89" t="s">
        <v>63</v>
      </c>
      <c r="P55" s="89" t="s">
        <v>64</v>
      </c>
      <c r="Q55" s="89" t="s">
        <v>65</v>
      </c>
      <c r="R55" s="89" t="s">
        <v>66</v>
      </c>
      <c r="S55" s="89" t="s">
        <v>67</v>
      </c>
      <c r="T55" s="89" t="s">
        <v>68</v>
      </c>
      <c r="U55" s="89" t="s">
        <v>70</v>
      </c>
      <c r="V55" s="90" t="s">
        <v>69</v>
      </c>
      <c r="W55" s="91" t="s">
        <v>71</v>
      </c>
      <c r="X55" s="89" t="s">
        <v>72</v>
      </c>
      <c r="Y55" s="89" t="s">
        <v>73</v>
      </c>
      <c r="Z55" s="89" t="s">
        <v>74</v>
      </c>
      <c r="AA55" s="282" t="s">
        <v>277</v>
      </c>
      <c r="AB55" s="292" t="s">
        <v>278</v>
      </c>
    </row>
    <row r="56" spans="1:28" ht="13.5" customHeight="1">
      <c r="A56" s="165" t="s">
        <v>160</v>
      </c>
      <c r="B56" s="22" t="s">
        <v>0</v>
      </c>
      <c r="C56" s="266">
        <v>50283</v>
      </c>
      <c r="D56" s="267">
        <v>293</v>
      </c>
      <c r="E56" s="267">
        <v>8313</v>
      </c>
      <c r="F56" s="267">
        <v>3203</v>
      </c>
      <c r="G56" s="267">
        <v>163353</v>
      </c>
      <c r="H56" s="267">
        <v>138591</v>
      </c>
      <c r="I56" s="267">
        <v>250186</v>
      </c>
      <c r="J56" s="267">
        <v>394115</v>
      </c>
      <c r="K56" s="267">
        <v>238099</v>
      </c>
      <c r="L56" s="267">
        <v>153092</v>
      </c>
      <c r="M56" s="267">
        <v>186100</v>
      </c>
      <c r="N56" s="267">
        <v>138700</v>
      </c>
      <c r="O56" s="267">
        <v>459516</v>
      </c>
      <c r="P56" s="267">
        <v>333779</v>
      </c>
      <c r="Q56" s="267">
        <v>372204</v>
      </c>
      <c r="R56" s="267">
        <v>216077</v>
      </c>
      <c r="S56" s="267">
        <v>429089</v>
      </c>
      <c r="T56" s="267">
        <v>223120</v>
      </c>
      <c r="U56" s="267">
        <v>3758113</v>
      </c>
      <c r="V56" s="268">
        <v>3809</v>
      </c>
      <c r="W56" s="269">
        <v>3761922</v>
      </c>
      <c r="X56" s="267">
        <v>58889</v>
      </c>
      <c r="Y56" s="267">
        <v>416742</v>
      </c>
      <c r="Z56" s="268">
        <v>3282482</v>
      </c>
      <c r="AA56" s="283">
        <v>5785</v>
      </c>
      <c r="AB56" s="293">
        <v>3878319</v>
      </c>
    </row>
    <row r="57" spans="1:28" ht="13.5" customHeight="1">
      <c r="A57" s="16" t="s">
        <v>1</v>
      </c>
      <c r="B57" s="17" t="s">
        <v>2</v>
      </c>
      <c r="C57" s="270">
        <v>321</v>
      </c>
      <c r="D57" s="271">
        <v>23</v>
      </c>
      <c r="E57" s="271">
        <v>1697</v>
      </c>
      <c r="F57" s="271">
        <v>187</v>
      </c>
      <c r="G57" s="271">
        <v>13579</v>
      </c>
      <c r="H57" s="271">
        <v>24358</v>
      </c>
      <c r="I57" s="271">
        <v>49567</v>
      </c>
      <c r="J57" s="271">
        <v>118263</v>
      </c>
      <c r="K57" s="271">
        <v>128082</v>
      </c>
      <c r="L57" s="271">
        <v>48891</v>
      </c>
      <c r="M57" s="271">
        <v>109422</v>
      </c>
      <c r="N57" s="271">
        <v>89270</v>
      </c>
      <c r="O57" s="271">
        <v>126308</v>
      </c>
      <c r="P57" s="271">
        <v>141767</v>
      </c>
      <c r="Q57" s="271">
        <v>175741</v>
      </c>
      <c r="R57" s="271">
        <v>38899</v>
      </c>
      <c r="S57" s="271">
        <v>92556</v>
      </c>
      <c r="T57" s="271">
        <v>59789</v>
      </c>
      <c r="U57" s="271">
        <v>1218720</v>
      </c>
      <c r="V57" s="272">
        <v>1235</v>
      </c>
      <c r="W57" s="273">
        <v>1219955</v>
      </c>
      <c r="X57" s="271">
        <v>2041</v>
      </c>
      <c r="Y57" s="271">
        <v>63333</v>
      </c>
      <c r="Z57" s="272">
        <v>1153346</v>
      </c>
      <c r="AA57" s="284">
        <v>7111</v>
      </c>
      <c r="AB57" s="294">
        <v>1246677.4670285857</v>
      </c>
    </row>
    <row r="58" spans="1:28" ht="13.5" customHeight="1">
      <c r="A58" s="18" t="s">
        <v>3</v>
      </c>
      <c r="B58" s="19" t="s">
        <v>4</v>
      </c>
      <c r="C58" s="274">
        <v>128</v>
      </c>
      <c r="D58" s="275">
        <v>0</v>
      </c>
      <c r="E58" s="275">
        <v>183</v>
      </c>
      <c r="F58" s="275">
        <v>334</v>
      </c>
      <c r="G58" s="275">
        <v>2385</v>
      </c>
      <c r="H58" s="275">
        <v>5702</v>
      </c>
      <c r="I58" s="275">
        <v>13992</v>
      </c>
      <c r="J58" s="275">
        <v>22611</v>
      </c>
      <c r="K58" s="275">
        <v>5105</v>
      </c>
      <c r="L58" s="275">
        <v>7436</v>
      </c>
      <c r="M58" s="275">
        <v>8604</v>
      </c>
      <c r="N58" s="275">
        <v>4288</v>
      </c>
      <c r="O58" s="275">
        <v>31822</v>
      </c>
      <c r="P58" s="275">
        <v>17465</v>
      </c>
      <c r="Q58" s="275">
        <v>8413</v>
      </c>
      <c r="R58" s="275">
        <v>12393</v>
      </c>
      <c r="S58" s="275">
        <v>18487</v>
      </c>
      <c r="T58" s="275">
        <v>13608</v>
      </c>
      <c r="U58" s="275">
        <v>172956</v>
      </c>
      <c r="V58" s="276">
        <v>175</v>
      </c>
      <c r="W58" s="277">
        <v>173131</v>
      </c>
      <c r="X58" s="275">
        <v>311</v>
      </c>
      <c r="Y58" s="275">
        <v>16711</v>
      </c>
      <c r="Z58" s="276">
        <v>155934</v>
      </c>
      <c r="AA58" s="285">
        <v>5226</v>
      </c>
      <c r="AB58" s="295">
        <v>177148.97960064365</v>
      </c>
    </row>
    <row r="59" spans="1:28" ht="13.5" customHeight="1">
      <c r="A59" s="18" t="s">
        <v>5</v>
      </c>
      <c r="B59" s="19" t="s">
        <v>6</v>
      </c>
      <c r="C59" s="274">
        <v>4919</v>
      </c>
      <c r="D59" s="275">
        <v>21</v>
      </c>
      <c r="E59" s="275">
        <v>471</v>
      </c>
      <c r="F59" s="275">
        <v>221</v>
      </c>
      <c r="G59" s="275">
        <v>5116</v>
      </c>
      <c r="H59" s="275">
        <v>5336</v>
      </c>
      <c r="I59" s="275">
        <v>9208</v>
      </c>
      <c r="J59" s="275">
        <v>11536</v>
      </c>
      <c r="K59" s="275">
        <v>10928</v>
      </c>
      <c r="L59" s="275">
        <v>10060</v>
      </c>
      <c r="M59" s="275">
        <v>1219</v>
      </c>
      <c r="N59" s="275">
        <v>2527</v>
      </c>
      <c r="O59" s="275">
        <v>15996</v>
      </c>
      <c r="P59" s="275">
        <v>14210</v>
      </c>
      <c r="Q59" s="275">
        <v>16351</v>
      </c>
      <c r="R59" s="275">
        <v>8656</v>
      </c>
      <c r="S59" s="275">
        <v>13035</v>
      </c>
      <c r="T59" s="275">
        <v>6716</v>
      </c>
      <c r="U59" s="275">
        <v>136526</v>
      </c>
      <c r="V59" s="276">
        <v>139</v>
      </c>
      <c r="W59" s="277">
        <v>136665</v>
      </c>
      <c r="X59" s="275">
        <v>5411</v>
      </c>
      <c r="Y59" s="275">
        <v>14545</v>
      </c>
      <c r="Z59" s="276">
        <v>116570</v>
      </c>
      <c r="AA59" s="285">
        <v>5445</v>
      </c>
      <c r="AB59" s="295">
        <v>141892.93939801177</v>
      </c>
    </row>
    <row r="60" spans="1:28" ht="13.5" customHeight="1">
      <c r="A60" s="18" t="s">
        <v>7</v>
      </c>
      <c r="B60" s="19" t="s">
        <v>8</v>
      </c>
      <c r="C60" s="274">
        <v>32</v>
      </c>
      <c r="D60" s="275">
        <v>1</v>
      </c>
      <c r="E60" s="275">
        <v>234</v>
      </c>
      <c r="F60" s="275">
        <v>131</v>
      </c>
      <c r="G60" s="275">
        <v>19248</v>
      </c>
      <c r="H60" s="275">
        <v>19475</v>
      </c>
      <c r="I60" s="275">
        <v>18187</v>
      </c>
      <c r="J60" s="275">
        <v>77030</v>
      </c>
      <c r="K60" s="275">
        <v>17034</v>
      </c>
      <c r="L60" s="275">
        <v>7416</v>
      </c>
      <c r="M60" s="275">
        <v>38112</v>
      </c>
      <c r="N60" s="275">
        <v>9079</v>
      </c>
      <c r="O60" s="275">
        <v>35384</v>
      </c>
      <c r="P60" s="275">
        <v>37131</v>
      </c>
      <c r="Q60" s="275">
        <v>13801</v>
      </c>
      <c r="R60" s="275">
        <v>16824</v>
      </c>
      <c r="S60" s="275">
        <v>36515</v>
      </c>
      <c r="T60" s="275">
        <v>16470</v>
      </c>
      <c r="U60" s="275">
        <v>362104</v>
      </c>
      <c r="V60" s="276">
        <v>367</v>
      </c>
      <c r="W60" s="277">
        <v>362471</v>
      </c>
      <c r="X60" s="275">
        <v>267</v>
      </c>
      <c r="Y60" s="275">
        <v>37566</v>
      </c>
      <c r="Z60" s="276">
        <v>324271</v>
      </c>
      <c r="AA60" s="285">
        <v>6533</v>
      </c>
      <c r="AB60" s="295">
        <v>372811.94770487066</v>
      </c>
    </row>
    <row r="61" spans="1:28" ht="13.5" customHeight="1">
      <c r="A61" s="16" t="s">
        <v>9</v>
      </c>
      <c r="B61" s="17" t="s">
        <v>10</v>
      </c>
      <c r="C61" s="274">
        <v>3276</v>
      </c>
      <c r="D61" s="275">
        <v>71</v>
      </c>
      <c r="E61" s="275">
        <v>314</v>
      </c>
      <c r="F61" s="275">
        <v>552</v>
      </c>
      <c r="G61" s="275">
        <v>15198</v>
      </c>
      <c r="H61" s="275">
        <v>5338</v>
      </c>
      <c r="I61" s="275">
        <v>11071</v>
      </c>
      <c r="J61" s="275">
        <v>14753</v>
      </c>
      <c r="K61" s="275">
        <v>4455</v>
      </c>
      <c r="L61" s="275">
        <v>8781</v>
      </c>
      <c r="M61" s="275">
        <v>1740</v>
      </c>
      <c r="N61" s="275">
        <v>4428</v>
      </c>
      <c r="O61" s="275">
        <v>17992</v>
      </c>
      <c r="P61" s="275">
        <v>11993</v>
      </c>
      <c r="Q61" s="275">
        <v>13693</v>
      </c>
      <c r="R61" s="275">
        <v>13733</v>
      </c>
      <c r="S61" s="275">
        <v>28305</v>
      </c>
      <c r="T61" s="275">
        <v>8940</v>
      </c>
      <c r="U61" s="275">
        <v>164633</v>
      </c>
      <c r="V61" s="276">
        <v>167</v>
      </c>
      <c r="W61" s="277">
        <v>164800</v>
      </c>
      <c r="X61" s="275">
        <v>3661</v>
      </c>
      <c r="Y61" s="275">
        <v>26821</v>
      </c>
      <c r="Z61" s="276">
        <v>134151</v>
      </c>
      <c r="AA61" s="285">
        <v>5344</v>
      </c>
      <c r="AB61" s="295">
        <v>168457.30726884186</v>
      </c>
    </row>
    <row r="62" spans="1:28" ht="13.5" customHeight="1">
      <c r="A62" s="18" t="s">
        <v>11</v>
      </c>
      <c r="B62" s="19" t="s">
        <v>12</v>
      </c>
      <c r="C62" s="274">
        <v>3593</v>
      </c>
      <c r="D62" s="275">
        <v>1</v>
      </c>
      <c r="E62" s="275">
        <v>360</v>
      </c>
      <c r="F62" s="275">
        <v>352</v>
      </c>
      <c r="G62" s="275">
        <v>18192</v>
      </c>
      <c r="H62" s="275">
        <v>3303</v>
      </c>
      <c r="I62" s="275">
        <v>7782</v>
      </c>
      <c r="J62" s="275">
        <v>10861</v>
      </c>
      <c r="K62" s="275">
        <v>5437</v>
      </c>
      <c r="L62" s="275">
        <v>3874</v>
      </c>
      <c r="M62" s="275">
        <v>538</v>
      </c>
      <c r="N62" s="275">
        <v>1549</v>
      </c>
      <c r="O62" s="275">
        <v>15673</v>
      </c>
      <c r="P62" s="275">
        <v>4383</v>
      </c>
      <c r="Q62" s="275">
        <v>8380</v>
      </c>
      <c r="R62" s="275">
        <v>7790</v>
      </c>
      <c r="S62" s="275">
        <v>18662</v>
      </c>
      <c r="T62" s="275">
        <v>8649</v>
      </c>
      <c r="U62" s="275">
        <v>119379</v>
      </c>
      <c r="V62" s="276">
        <v>121</v>
      </c>
      <c r="W62" s="277">
        <v>119500</v>
      </c>
      <c r="X62" s="275">
        <v>3954</v>
      </c>
      <c r="Y62" s="275">
        <v>26326</v>
      </c>
      <c r="Z62" s="276">
        <v>89099</v>
      </c>
      <c r="AA62" s="285">
        <v>4591</v>
      </c>
      <c r="AB62" s="295">
        <v>122309.42654964449</v>
      </c>
    </row>
    <row r="63" spans="1:28" ht="13.5" customHeight="1">
      <c r="A63" s="18" t="s">
        <v>13</v>
      </c>
      <c r="B63" s="19" t="s">
        <v>14</v>
      </c>
      <c r="C63" s="274">
        <v>1385</v>
      </c>
      <c r="D63" s="275">
        <v>2</v>
      </c>
      <c r="E63" s="275">
        <v>242</v>
      </c>
      <c r="F63" s="275">
        <v>110</v>
      </c>
      <c r="G63" s="275">
        <v>11974</v>
      </c>
      <c r="H63" s="275">
        <v>8083</v>
      </c>
      <c r="I63" s="275">
        <v>15482</v>
      </c>
      <c r="J63" s="275">
        <v>23107</v>
      </c>
      <c r="K63" s="275">
        <v>7970</v>
      </c>
      <c r="L63" s="275">
        <v>12856</v>
      </c>
      <c r="M63" s="275">
        <v>2713</v>
      </c>
      <c r="N63" s="275">
        <v>9333</v>
      </c>
      <c r="O63" s="275">
        <v>43641</v>
      </c>
      <c r="P63" s="275">
        <v>26765</v>
      </c>
      <c r="Q63" s="275">
        <v>25458</v>
      </c>
      <c r="R63" s="275">
        <v>19661</v>
      </c>
      <c r="S63" s="275">
        <v>48608</v>
      </c>
      <c r="T63" s="275">
        <v>20295</v>
      </c>
      <c r="U63" s="275">
        <v>277685</v>
      </c>
      <c r="V63" s="276">
        <v>282</v>
      </c>
      <c r="W63" s="277">
        <v>277967</v>
      </c>
      <c r="X63" s="275">
        <v>1629</v>
      </c>
      <c r="Y63" s="275">
        <v>27566</v>
      </c>
      <c r="Z63" s="276">
        <v>248490</v>
      </c>
      <c r="AA63" s="285">
        <v>5388</v>
      </c>
      <c r="AB63" s="295">
        <v>283640.91088131018</v>
      </c>
    </row>
    <row r="64" spans="1:28" ht="13.5" customHeight="1">
      <c r="A64" s="18" t="s">
        <v>15</v>
      </c>
      <c r="B64" s="19" t="s">
        <v>45</v>
      </c>
      <c r="C64" s="274">
        <v>1327</v>
      </c>
      <c r="D64" s="275">
        <v>3</v>
      </c>
      <c r="E64" s="275">
        <v>310</v>
      </c>
      <c r="F64" s="275">
        <v>46</v>
      </c>
      <c r="G64" s="275">
        <v>5378</v>
      </c>
      <c r="H64" s="275">
        <v>2862</v>
      </c>
      <c r="I64" s="275">
        <v>10679</v>
      </c>
      <c r="J64" s="275">
        <v>14487</v>
      </c>
      <c r="K64" s="275">
        <v>8395</v>
      </c>
      <c r="L64" s="275">
        <v>2759</v>
      </c>
      <c r="M64" s="275">
        <v>4355</v>
      </c>
      <c r="N64" s="275">
        <v>1563</v>
      </c>
      <c r="O64" s="275">
        <v>17158</v>
      </c>
      <c r="P64" s="275">
        <v>15953</v>
      </c>
      <c r="Q64" s="275">
        <v>6097</v>
      </c>
      <c r="R64" s="275">
        <v>6408</v>
      </c>
      <c r="S64" s="275">
        <v>21776</v>
      </c>
      <c r="T64" s="275">
        <v>6454</v>
      </c>
      <c r="U64" s="275">
        <v>126010</v>
      </c>
      <c r="V64" s="276">
        <v>128</v>
      </c>
      <c r="W64" s="277">
        <v>126138</v>
      </c>
      <c r="X64" s="275">
        <v>1640</v>
      </c>
      <c r="Y64" s="275">
        <v>16103</v>
      </c>
      <c r="Z64" s="276">
        <v>108267</v>
      </c>
      <c r="AA64" s="285">
        <v>5831</v>
      </c>
      <c r="AB64" s="295">
        <v>129774.19608441189</v>
      </c>
    </row>
    <row r="65" spans="1:28" ht="13.5" customHeight="1">
      <c r="A65" s="18" t="s">
        <v>16</v>
      </c>
      <c r="B65" s="19" t="s">
        <v>46</v>
      </c>
      <c r="C65" s="274">
        <v>2530</v>
      </c>
      <c r="D65" s="275">
        <v>2</v>
      </c>
      <c r="E65" s="275">
        <v>544</v>
      </c>
      <c r="F65" s="275">
        <v>169</v>
      </c>
      <c r="G65" s="275">
        <v>16209</v>
      </c>
      <c r="H65" s="275">
        <v>21157</v>
      </c>
      <c r="I65" s="275">
        <v>17519</v>
      </c>
      <c r="J65" s="275">
        <v>21396</v>
      </c>
      <c r="K65" s="275">
        <v>16246</v>
      </c>
      <c r="L65" s="275">
        <v>6376</v>
      </c>
      <c r="M65" s="275">
        <v>9143</v>
      </c>
      <c r="N65" s="275">
        <v>4007</v>
      </c>
      <c r="O65" s="275">
        <v>34839</v>
      </c>
      <c r="P65" s="275">
        <v>17179</v>
      </c>
      <c r="Q65" s="275">
        <v>19796</v>
      </c>
      <c r="R65" s="275">
        <v>13661</v>
      </c>
      <c r="S65" s="275">
        <v>28282</v>
      </c>
      <c r="T65" s="275">
        <v>15368</v>
      </c>
      <c r="U65" s="275">
        <v>244423</v>
      </c>
      <c r="V65" s="276">
        <v>247</v>
      </c>
      <c r="W65" s="277">
        <v>244670</v>
      </c>
      <c r="X65" s="275">
        <v>3076</v>
      </c>
      <c r="Y65" s="275">
        <v>33897</v>
      </c>
      <c r="Z65" s="276">
        <v>207450</v>
      </c>
      <c r="AA65" s="285">
        <v>5869</v>
      </c>
      <c r="AB65" s="295">
        <v>255662.7483826344</v>
      </c>
    </row>
    <row r="66" spans="1:28" ht="13.5" customHeight="1">
      <c r="A66" s="18">
        <v>10</v>
      </c>
      <c r="B66" s="19" t="s">
        <v>47</v>
      </c>
      <c r="C66" s="274">
        <v>7992</v>
      </c>
      <c r="D66" s="275">
        <v>37</v>
      </c>
      <c r="E66" s="275">
        <v>512</v>
      </c>
      <c r="F66" s="275">
        <v>118</v>
      </c>
      <c r="G66" s="275">
        <v>10183</v>
      </c>
      <c r="H66" s="275">
        <v>5491</v>
      </c>
      <c r="I66" s="275">
        <v>12310</v>
      </c>
      <c r="J66" s="275">
        <v>17093</v>
      </c>
      <c r="K66" s="275">
        <v>7377</v>
      </c>
      <c r="L66" s="275">
        <v>6273</v>
      </c>
      <c r="M66" s="275">
        <v>1804</v>
      </c>
      <c r="N66" s="275">
        <v>2355</v>
      </c>
      <c r="O66" s="275">
        <v>14542</v>
      </c>
      <c r="P66" s="275">
        <v>9776</v>
      </c>
      <c r="Q66" s="275">
        <v>18117</v>
      </c>
      <c r="R66" s="275">
        <v>10289</v>
      </c>
      <c r="S66" s="275">
        <v>17746</v>
      </c>
      <c r="T66" s="275">
        <v>6444</v>
      </c>
      <c r="U66" s="275">
        <v>148459</v>
      </c>
      <c r="V66" s="276">
        <v>150</v>
      </c>
      <c r="W66" s="277">
        <v>148609</v>
      </c>
      <c r="X66" s="275">
        <v>8541</v>
      </c>
      <c r="Y66" s="275">
        <v>22611</v>
      </c>
      <c r="Z66" s="276">
        <v>117307</v>
      </c>
      <c r="AA66" s="285">
        <v>5469</v>
      </c>
      <c r="AB66" s="295">
        <v>153509.26157681309</v>
      </c>
    </row>
    <row r="67" spans="1:28" ht="13.5" customHeight="1">
      <c r="A67" s="20">
        <v>11</v>
      </c>
      <c r="B67" s="21" t="s">
        <v>48</v>
      </c>
      <c r="C67" s="278">
        <v>2851</v>
      </c>
      <c r="D67" s="279">
        <v>1</v>
      </c>
      <c r="E67" s="279">
        <v>566</v>
      </c>
      <c r="F67" s="279">
        <v>85</v>
      </c>
      <c r="G67" s="279">
        <v>6233</v>
      </c>
      <c r="H67" s="279">
        <v>2006</v>
      </c>
      <c r="I67" s="279">
        <v>7579</v>
      </c>
      <c r="J67" s="279">
        <v>3907</v>
      </c>
      <c r="K67" s="279">
        <v>3209</v>
      </c>
      <c r="L67" s="279">
        <v>1318</v>
      </c>
      <c r="M67" s="279">
        <v>30</v>
      </c>
      <c r="N67" s="279">
        <v>410</v>
      </c>
      <c r="O67" s="279">
        <v>10317</v>
      </c>
      <c r="P67" s="279">
        <v>1603</v>
      </c>
      <c r="Q67" s="279">
        <v>8967</v>
      </c>
      <c r="R67" s="279">
        <v>3207</v>
      </c>
      <c r="S67" s="279">
        <v>7215</v>
      </c>
      <c r="T67" s="279">
        <v>4287</v>
      </c>
      <c r="U67" s="279">
        <v>63791</v>
      </c>
      <c r="V67" s="280">
        <v>65</v>
      </c>
      <c r="W67" s="281">
        <v>63856</v>
      </c>
      <c r="X67" s="279">
        <v>3418</v>
      </c>
      <c r="Y67" s="279">
        <v>13897</v>
      </c>
      <c r="Z67" s="280">
        <v>46476</v>
      </c>
      <c r="AA67" s="286">
        <v>4265</v>
      </c>
      <c r="AB67" s="296">
        <v>65625.475222991081</v>
      </c>
    </row>
    <row r="68" spans="1:28" ht="13.5" customHeight="1">
      <c r="A68" s="18">
        <v>12</v>
      </c>
      <c r="B68" s="19" t="s">
        <v>17</v>
      </c>
      <c r="C68" s="270">
        <v>1867</v>
      </c>
      <c r="D68" s="271">
        <v>73</v>
      </c>
      <c r="E68" s="271">
        <v>53</v>
      </c>
      <c r="F68" s="271">
        <v>56</v>
      </c>
      <c r="G68" s="271">
        <v>217</v>
      </c>
      <c r="H68" s="271">
        <v>358</v>
      </c>
      <c r="I68" s="271">
        <v>1834</v>
      </c>
      <c r="J68" s="271">
        <v>439</v>
      </c>
      <c r="K68" s="271">
        <v>320</v>
      </c>
      <c r="L68" s="271">
        <v>1132</v>
      </c>
      <c r="M68" s="271">
        <v>1</v>
      </c>
      <c r="N68" s="271">
        <v>150</v>
      </c>
      <c r="O68" s="271">
        <v>1155</v>
      </c>
      <c r="P68" s="271">
        <v>152</v>
      </c>
      <c r="Q68" s="271">
        <v>1577</v>
      </c>
      <c r="R68" s="271">
        <v>978</v>
      </c>
      <c r="S68" s="271">
        <v>846</v>
      </c>
      <c r="T68" s="271">
        <v>499</v>
      </c>
      <c r="U68" s="271">
        <v>11707</v>
      </c>
      <c r="V68" s="272">
        <v>12</v>
      </c>
      <c r="W68" s="273">
        <v>11719</v>
      </c>
      <c r="X68" s="271">
        <v>1993</v>
      </c>
      <c r="Y68" s="271">
        <v>2107</v>
      </c>
      <c r="Z68" s="272">
        <v>7607</v>
      </c>
      <c r="AA68" s="284">
        <v>4085</v>
      </c>
      <c r="AB68" s="294">
        <v>12109.017981152483</v>
      </c>
    </row>
    <row r="69" spans="1:28" ht="13.5" customHeight="1">
      <c r="A69" s="18">
        <v>13</v>
      </c>
      <c r="B69" s="19" t="s">
        <v>18</v>
      </c>
      <c r="C69" s="274">
        <v>1118</v>
      </c>
      <c r="D69" s="275">
        <v>8</v>
      </c>
      <c r="E69" s="275">
        <v>17</v>
      </c>
      <c r="F69" s="275">
        <v>0</v>
      </c>
      <c r="G69" s="275">
        <v>150</v>
      </c>
      <c r="H69" s="275">
        <v>133</v>
      </c>
      <c r="I69" s="275">
        <v>1201</v>
      </c>
      <c r="J69" s="275">
        <v>175</v>
      </c>
      <c r="K69" s="275">
        <v>320</v>
      </c>
      <c r="L69" s="275">
        <v>72</v>
      </c>
      <c r="M69" s="275">
        <v>0</v>
      </c>
      <c r="N69" s="275">
        <v>4</v>
      </c>
      <c r="O69" s="275">
        <v>760</v>
      </c>
      <c r="P69" s="275">
        <v>178</v>
      </c>
      <c r="Q69" s="275">
        <v>841</v>
      </c>
      <c r="R69" s="275">
        <v>890</v>
      </c>
      <c r="S69" s="275">
        <v>812</v>
      </c>
      <c r="T69" s="275">
        <v>290</v>
      </c>
      <c r="U69" s="275">
        <v>6969</v>
      </c>
      <c r="V69" s="276">
        <v>7</v>
      </c>
      <c r="W69" s="277">
        <v>6976</v>
      </c>
      <c r="X69" s="275">
        <v>1143</v>
      </c>
      <c r="Y69" s="275">
        <v>1351</v>
      </c>
      <c r="Z69" s="276">
        <v>4475</v>
      </c>
      <c r="AA69" s="285">
        <v>4285</v>
      </c>
      <c r="AB69" s="295">
        <v>7269.417494951681</v>
      </c>
    </row>
    <row r="70" spans="1:28" ht="13.5" customHeight="1">
      <c r="A70" s="18">
        <v>14</v>
      </c>
      <c r="B70" s="19" t="s">
        <v>19</v>
      </c>
      <c r="C70" s="274">
        <v>952</v>
      </c>
      <c r="D70" s="275">
        <v>3</v>
      </c>
      <c r="E70" s="275">
        <v>27</v>
      </c>
      <c r="F70" s="275">
        <v>0</v>
      </c>
      <c r="G70" s="275">
        <v>282</v>
      </c>
      <c r="H70" s="275">
        <v>45</v>
      </c>
      <c r="I70" s="275">
        <v>649</v>
      </c>
      <c r="J70" s="275">
        <v>98</v>
      </c>
      <c r="K70" s="275">
        <v>69</v>
      </c>
      <c r="L70" s="275">
        <v>121</v>
      </c>
      <c r="M70" s="275">
        <v>0</v>
      </c>
      <c r="N70" s="275">
        <v>11</v>
      </c>
      <c r="O70" s="275">
        <v>364</v>
      </c>
      <c r="P70" s="275">
        <v>856</v>
      </c>
      <c r="Q70" s="275">
        <v>709</v>
      </c>
      <c r="R70" s="275">
        <v>696</v>
      </c>
      <c r="S70" s="275">
        <v>205</v>
      </c>
      <c r="T70" s="275">
        <v>282</v>
      </c>
      <c r="U70" s="275">
        <v>5369</v>
      </c>
      <c r="V70" s="276">
        <v>5</v>
      </c>
      <c r="W70" s="277">
        <v>5374</v>
      </c>
      <c r="X70" s="275">
        <v>982</v>
      </c>
      <c r="Y70" s="275">
        <v>931</v>
      </c>
      <c r="Z70" s="276">
        <v>3456</v>
      </c>
      <c r="AA70" s="285">
        <v>4369</v>
      </c>
      <c r="AB70" s="295">
        <v>5587.2504924233317</v>
      </c>
    </row>
    <row r="71" spans="1:28" ht="13.5" customHeight="1">
      <c r="A71" s="18">
        <v>15</v>
      </c>
      <c r="B71" s="19" t="s">
        <v>20</v>
      </c>
      <c r="C71" s="274">
        <v>1761</v>
      </c>
      <c r="D71" s="275">
        <v>7</v>
      </c>
      <c r="E71" s="275">
        <v>73</v>
      </c>
      <c r="F71" s="275">
        <v>0</v>
      </c>
      <c r="G71" s="275">
        <v>878</v>
      </c>
      <c r="H71" s="275">
        <v>358</v>
      </c>
      <c r="I71" s="275">
        <v>2253</v>
      </c>
      <c r="J71" s="275">
        <v>570</v>
      </c>
      <c r="K71" s="275">
        <v>465</v>
      </c>
      <c r="L71" s="275">
        <v>800</v>
      </c>
      <c r="M71" s="275">
        <v>44</v>
      </c>
      <c r="N71" s="275">
        <v>85</v>
      </c>
      <c r="O71" s="275">
        <v>1896</v>
      </c>
      <c r="P71" s="275">
        <v>710</v>
      </c>
      <c r="Q71" s="275">
        <v>1294</v>
      </c>
      <c r="R71" s="275">
        <v>1188</v>
      </c>
      <c r="S71" s="275">
        <v>1903</v>
      </c>
      <c r="T71" s="275">
        <v>1229</v>
      </c>
      <c r="U71" s="275">
        <v>15514</v>
      </c>
      <c r="V71" s="276">
        <v>16</v>
      </c>
      <c r="W71" s="277">
        <v>15530</v>
      </c>
      <c r="X71" s="275">
        <v>1841</v>
      </c>
      <c r="Y71" s="275">
        <v>3131</v>
      </c>
      <c r="Z71" s="276">
        <v>10542</v>
      </c>
      <c r="AA71" s="285">
        <v>3655</v>
      </c>
      <c r="AB71" s="295">
        <v>16007.725959121335</v>
      </c>
    </row>
    <row r="72" spans="1:28" ht="13.5" customHeight="1">
      <c r="A72" s="18">
        <v>16</v>
      </c>
      <c r="B72" s="19" t="s">
        <v>21</v>
      </c>
      <c r="C72" s="274">
        <v>1246</v>
      </c>
      <c r="D72" s="275">
        <v>2</v>
      </c>
      <c r="E72" s="275">
        <v>351</v>
      </c>
      <c r="F72" s="275">
        <v>380</v>
      </c>
      <c r="G72" s="275">
        <v>1360</v>
      </c>
      <c r="H72" s="275">
        <v>1011</v>
      </c>
      <c r="I72" s="275">
        <v>3886</v>
      </c>
      <c r="J72" s="275">
        <v>1590</v>
      </c>
      <c r="K72" s="275">
        <v>1094</v>
      </c>
      <c r="L72" s="275">
        <v>2575</v>
      </c>
      <c r="M72" s="275">
        <v>0</v>
      </c>
      <c r="N72" s="275">
        <v>479</v>
      </c>
      <c r="O72" s="275">
        <v>3593</v>
      </c>
      <c r="P72" s="275">
        <v>1381</v>
      </c>
      <c r="Q72" s="275">
        <v>2205</v>
      </c>
      <c r="R72" s="275">
        <v>1961</v>
      </c>
      <c r="S72" s="275">
        <v>5235</v>
      </c>
      <c r="T72" s="275">
        <v>5198</v>
      </c>
      <c r="U72" s="275">
        <v>33547</v>
      </c>
      <c r="V72" s="276">
        <v>34</v>
      </c>
      <c r="W72" s="277">
        <v>33581</v>
      </c>
      <c r="X72" s="275">
        <v>1599</v>
      </c>
      <c r="Y72" s="275">
        <v>5626</v>
      </c>
      <c r="Z72" s="276">
        <v>26322</v>
      </c>
      <c r="AA72" s="285">
        <v>4348</v>
      </c>
      <c r="AB72" s="295">
        <v>34845.474592979539</v>
      </c>
    </row>
    <row r="73" spans="1:28" ht="13.5" customHeight="1">
      <c r="A73" s="18">
        <v>17</v>
      </c>
      <c r="B73" s="19" t="s">
        <v>22</v>
      </c>
      <c r="C73" s="274">
        <v>830</v>
      </c>
      <c r="D73" s="275">
        <v>12</v>
      </c>
      <c r="E73" s="275">
        <v>237</v>
      </c>
      <c r="F73" s="275">
        <v>38</v>
      </c>
      <c r="G73" s="275">
        <v>250</v>
      </c>
      <c r="H73" s="275">
        <v>539</v>
      </c>
      <c r="I73" s="275">
        <v>9675</v>
      </c>
      <c r="J73" s="275">
        <v>1445</v>
      </c>
      <c r="K73" s="275">
        <v>920</v>
      </c>
      <c r="L73" s="275">
        <v>8254</v>
      </c>
      <c r="M73" s="275">
        <v>101</v>
      </c>
      <c r="N73" s="275">
        <v>121</v>
      </c>
      <c r="O73" s="275">
        <v>4172</v>
      </c>
      <c r="P73" s="275">
        <v>3622</v>
      </c>
      <c r="Q73" s="275">
        <v>3179</v>
      </c>
      <c r="R73" s="275">
        <v>4535</v>
      </c>
      <c r="S73" s="275">
        <v>1593</v>
      </c>
      <c r="T73" s="275">
        <v>4432</v>
      </c>
      <c r="U73" s="275">
        <v>43955</v>
      </c>
      <c r="V73" s="276">
        <v>45</v>
      </c>
      <c r="W73" s="277">
        <v>44000</v>
      </c>
      <c r="X73" s="275">
        <v>1079</v>
      </c>
      <c r="Y73" s="275">
        <v>9963</v>
      </c>
      <c r="Z73" s="276">
        <v>32913</v>
      </c>
      <c r="AA73" s="285">
        <v>4942</v>
      </c>
      <c r="AB73" s="295">
        <v>45469.326246882709</v>
      </c>
    </row>
    <row r="74" spans="1:28" ht="13.5" customHeight="1">
      <c r="A74" s="18">
        <v>18</v>
      </c>
      <c r="B74" s="19" t="s">
        <v>23</v>
      </c>
      <c r="C74" s="274">
        <v>859</v>
      </c>
      <c r="D74" s="275">
        <v>1</v>
      </c>
      <c r="E74" s="275">
        <v>165</v>
      </c>
      <c r="F74" s="275">
        <v>13</v>
      </c>
      <c r="G74" s="275">
        <v>201</v>
      </c>
      <c r="H74" s="275">
        <v>215</v>
      </c>
      <c r="I74" s="275">
        <v>1432</v>
      </c>
      <c r="J74" s="275">
        <v>417</v>
      </c>
      <c r="K74" s="275">
        <v>1178</v>
      </c>
      <c r="L74" s="275">
        <v>291</v>
      </c>
      <c r="M74" s="275">
        <v>1245</v>
      </c>
      <c r="N74" s="275">
        <v>29</v>
      </c>
      <c r="O74" s="275">
        <v>1424</v>
      </c>
      <c r="P74" s="275">
        <v>1221</v>
      </c>
      <c r="Q74" s="275">
        <v>1471</v>
      </c>
      <c r="R74" s="275">
        <v>1107</v>
      </c>
      <c r="S74" s="275">
        <v>1858</v>
      </c>
      <c r="T74" s="275">
        <v>826</v>
      </c>
      <c r="U74" s="275">
        <v>13953</v>
      </c>
      <c r="V74" s="276">
        <v>14</v>
      </c>
      <c r="W74" s="277">
        <v>13967</v>
      </c>
      <c r="X74" s="275">
        <v>1025</v>
      </c>
      <c r="Y74" s="275">
        <v>1646</v>
      </c>
      <c r="Z74" s="276">
        <v>11282</v>
      </c>
      <c r="AA74" s="285">
        <v>5111</v>
      </c>
      <c r="AB74" s="295">
        <v>14392.783623419929</v>
      </c>
    </row>
    <row r="75" spans="1:28" ht="13.5" customHeight="1">
      <c r="A75" s="18">
        <v>19</v>
      </c>
      <c r="B75" s="19" t="s">
        <v>24</v>
      </c>
      <c r="C75" s="274">
        <v>818</v>
      </c>
      <c r="D75" s="275">
        <v>0</v>
      </c>
      <c r="E75" s="275">
        <v>70</v>
      </c>
      <c r="F75" s="275">
        <v>13</v>
      </c>
      <c r="G75" s="275">
        <v>913</v>
      </c>
      <c r="H75" s="275">
        <v>9901</v>
      </c>
      <c r="I75" s="275">
        <v>4212</v>
      </c>
      <c r="J75" s="275">
        <v>1001</v>
      </c>
      <c r="K75" s="275">
        <v>1675</v>
      </c>
      <c r="L75" s="275">
        <v>1060</v>
      </c>
      <c r="M75" s="275">
        <v>191</v>
      </c>
      <c r="N75" s="275">
        <v>273</v>
      </c>
      <c r="O75" s="275">
        <v>3456</v>
      </c>
      <c r="P75" s="275">
        <v>463</v>
      </c>
      <c r="Q75" s="275">
        <v>2086</v>
      </c>
      <c r="R75" s="275">
        <v>1385</v>
      </c>
      <c r="S75" s="275">
        <v>4347</v>
      </c>
      <c r="T75" s="275">
        <v>1185</v>
      </c>
      <c r="U75" s="275">
        <v>33049</v>
      </c>
      <c r="V75" s="276">
        <v>33</v>
      </c>
      <c r="W75" s="277">
        <v>33082</v>
      </c>
      <c r="X75" s="275">
        <v>888</v>
      </c>
      <c r="Y75" s="275">
        <v>5138</v>
      </c>
      <c r="Z75" s="276">
        <v>27023</v>
      </c>
      <c r="AA75" s="285">
        <v>6122</v>
      </c>
      <c r="AB75" s="295">
        <v>37879.396409627756</v>
      </c>
    </row>
    <row r="76" spans="1:28" ht="13.5" customHeight="1">
      <c r="A76" s="20">
        <v>20</v>
      </c>
      <c r="B76" s="21" t="s">
        <v>25</v>
      </c>
      <c r="C76" s="278">
        <v>1870</v>
      </c>
      <c r="D76" s="279">
        <v>1</v>
      </c>
      <c r="E76" s="279">
        <v>178</v>
      </c>
      <c r="F76" s="279">
        <v>0</v>
      </c>
      <c r="G76" s="279">
        <v>647</v>
      </c>
      <c r="H76" s="279">
        <v>266</v>
      </c>
      <c r="I76" s="279">
        <v>1527</v>
      </c>
      <c r="J76" s="279">
        <v>608</v>
      </c>
      <c r="K76" s="279">
        <v>523</v>
      </c>
      <c r="L76" s="279">
        <v>536</v>
      </c>
      <c r="M76" s="279">
        <v>40</v>
      </c>
      <c r="N76" s="279">
        <v>30</v>
      </c>
      <c r="O76" s="279">
        <v>1163</v>
      </c>
      <c r="P76" s="279">
        <v>310</v>
      </c>
      <c r="Q76" s="279">
        <v>1191</v>
      </c>
      <c r="R76" s="279">
        <v>577</v>
      </c>
      <c r="S76" s="279">
        <v>738</v>
      </c>
      <c r="T76" s="279">
        <v>659</v>
      </c>
      <c r="U76" s="279">
        <v>10864</v>
      </c>
      <c r="V76" s="280">
        <v>11</v>
      </c>
      <c r="W76" s="281">
        <v>10875</v>
      </c>
      <c r="X76" s="279">
        <v>2049</v>
      </c>
      <c r="Y76" s="279">
        <v>2174</v>
      </c>
      <c r="Z76" s="280">
        <v>6641</v>
      </c>
      <c r="AA76" s="286">
        <v>4050</v>
      </c>
      <c r="AB76" s="296">
        <v>11282.299880691829</v>
      </c>
    </row>
    <row r="77" spans="1:28" ht="13.5" customHeight="1">
      <c r="A77" s="18">
        <v>21</v>
      </c>
      <c r="B77" s="19" t="s">
        <v>26</v>
      </c>
      <c r="C77" s="270">
        <v>1010</v>
      </c>
      <c r="D77" s="271">
        <v>3</v>
      </c>
      <c r="E77" s="271">
        <v>89</v>
      </c>
      <c r="F77" s="271">
        <v>85</v>
      </c>
      <c r="G77" s="271">
        <v>2314</v>
      </c>
      <c r="H77" s="271">
        <v>1645</v>
      </c>
      <c r="I77" s="271">
        <v>7224</v>
      </c>
      <c r="J77" s="271">
        <v>3446</v>
      </c>
      <c r="K77" s="271">
        <v>789</v>
      </c>
      <c r="L77" s="271">
        <v>2515</v>
      </c>
      <c r="M77" s="271">
        <v>26</v>
      </c>
      <c r="N77" s="271">
        <v>611</v>
      </c>
      <c r="O77" s="271">
        <v>13135</v>
      </c>
      <c r="P77" s="271">
        <v>1907</v>
      </c>
      <c r="Q77" s="271">
        <v>2917</v>
      </c>
      <c r="R77" s="271">
        <v>3772</v>
      </c>
      <c r="S77" s="271">
        <v>4474</v>
      </c>
      <c r="T77" s="271">
        <v>5941</v>
      </c>
      <c r="U77" s="271">
        <v>51903</v>
      </c>
      <c r="V77" s="272">
        <v>53</v>
      </c>
      <c r="W77" s="273">
        <v>51956</v>
      </c>
      <c r="X77" s="271">
        <v>1102</v>
      </c>
      <c r="Y77" s="271">
        <v>9623</v>
      </c>
      <c r="Z77" s="272">
        <v>41178</v>
      </c>
      <c r="AA77" s="284">
        <v>4363</v>
      </c>
      <c r="AB77" s="294">
        <v>53106.649635741844</v>
      </c>
    </row>
    <row r="78" spans="1:28" ht="13.5" customHeight="1">
      <c r="A78" s="18">
        <v>22</v>
      </c>
      <c r="B78" s="19" t="s">
        <v>27</v>
      </c>
      <c r="C78" s="274">
        <v>39</v>
      </c>
      <c r="D78" s="275">
        <v>0</v>
      </c>
      <c r="E78" s="275">
        <v>3</v>
      </c>
      <c r="F78" s="275">
        <v>8</v>
      </c>
      <c r="G78" s="275">
        <v>759</v>
      </c>
      <c r="H78" s="275">
        <v>751</v>
      </c>
      <c r="I78" s="275">
        <v>2550</v>
      </c>
      <c r="J78" s="275">
        <v>1657</v>
      </c>
      <c r="K78" s="275">
        <v>588</v>
      </c>
      <c r="L78" s="275">
        <v>1006</v>
      </c>
      <c r="M78" s="275">
        <v>837</v>
      </c>
      <c r="N78" s="275">
        <v>1084</v>
      </c>
      <c r="O78" s="275">
        <v>3973</v>
      </c>
      <c r="P78" s="275">
        <v>3056</v>
      </c>
      <c r="Q78" s="275">
        <v>9426</v>
      </c>
      <c r="R78" s="275">
        <v>1732</v>
      </c>
      <c r="S78" s="275">
        <v>3706</v>
      </c>
      <c r="T78" s="275">
        <v>1734</v>
      </c>
      <c r="U78" s="275">
        <v>32909</v>
      </c>
      <c r="V78" s="276">
        <v>33</v>
      </c>
      <c r="W78" s="277">
        <v>32942</v>
      </c>
      <c r="X78" s="275">
        <v>42</v>
      </c>
      <c r="Y78" s="275">
        <v>3317</v>
      </c>
      <c r="Z78" s="276">
        <v>29550</v>
      </c>
      <c r="AA78" s="285">
        <v>4227</v>
      </c>
      <c r="AB78" s="295">
        <v>33600.241253254135</v>
      </c>
    </row>
    <row r="79" spans="1:28" ht="13.5" customHeight="1">
      <c r="A79" s="18">
        <v>23</v>
      </c>
      <c r="B79" s="19" t="s">
        <v>28</v>
      </c>
      <c r="C79" s="274">
        <v>2</v>
      </c>
      <c r="D79" s="275">
        <v>1</v>
      </c>
      <c r="E79" s="275">
        <v>63</v>
      </c>
      <c r="F79" s="275">
        <v>5</v>
      </c>
      <c r="G79" s="275">
        <v>572</v>
      </c>
      <c r="H79" s="275">
        <v>2867</v>
      </c>
      <c r="I79" s="275">
        <v>6911</v>
      </c>
      <c r="J79" s="275">
        <v>7745</v>
      </c>
      <c r="K79" s="275">
        <v>622</v>
      </c>
      <c r="L79" s="275">
        <v>4893</v>
      </c>
      <c r="M79" s="275">
        <v>3504</v>
      </c>
      <c r="N79" s="275">
        <v>2059</v>
      </c>
      <c r="O79" s="275">
        <v>13939</v>
      </c>
      <c r="P79" s="275">
        <v>5984</v>
      </c>
      <c r="Q79" s="275">
        <v>2866</v>
      </c>
      <c r="R79" s="275">
        <v>2757</v>
      </c>
      <c r="S79" s="275">
        <v>4731</v>
      </c>
      <c r="T79" s="275">
        <v>6885</v>
      </c>
      <c r="U79" s="275">
        <v>66406</v>
      </c>
      <c r="V79" s="276">
        <v>67</v>
      </c>
      <c r="W79" s="277">
        <v>66473</v>
      </c>
      <c r="X79" s="275">
        <v>66</v>
      </c>
      <c r="Y79" s="275">
        <v>7488</v>
      </c>
      <c r="Z79" s="276">
        <v>58852</v>
      </c>
      <c r="AA79" s="285">
        <v>5101</v>
      </c>
      <c r="AB79" s="295">
        <v>68045.371321989893</v>
      </c>
    </row>
    <row r="80" spans="1:28" ht="13.5" customHeight="1">
      <c r="A80" s="18">
        <v>24</v>
      </c>
      <c r="B80" s="19" t="s">
        <v>29</v>
      </c>
      <c r="C80" s="274">
        <v>35</v>
      </c>
      <c r="D80" s="275">
        <v>0</v>
      </c>
      <c r="E80" s="275">
        <v>74</v>
      </c>
      <c r="F80" s="275">
        <v>8</v>
      </c>
      <c r="G80" s="275">
        <v>256</v>
      </c>
      <c r="H80" s="275">
        <v>601</v>
      </c>
      <c r="I80" s="275">
        <v>2464</v>
      </c>
      <c r="J80" s="275">
        <v>2323</v>
      </c>
      <c r="K80" s="275">
        <v>887</v>
      </c>
      <c r="L80" s="275">
        <v>1522</v>
      </c>
      <c r="M80" s="275">
        <v>514</v>
      </c>
      <c r="N80" s="275">
        <v>503</v>
      </c>
      <c r="O80" s="275">
        <v>5690</v>
      </c>
      <c r="P80" s="275">
        <v>1749</v>
      </c>
      <c r="Q80" s="275">
        <v>1565</v>
      </c>
      <c r="R80" s="275">
        <v>2730</v>
      </c>
      <c r="S80" s="275">
        <v>5732</v>
      </c>
      <c r="T80" s="275">
        <v>1719</v>
      </c>
      <c r="U80" s="275">
        <v>28372</v>
      </c>
      <c r="V80" s="276">
        <v>28</v>
      </c>
      <c r="W80" s="277">
        <v>28400</v>
      </c>
      <c r="X80" s="275">
        <v>109</v>
      </c>
      <c r="Y80" s="275">
        <v>2728</v>
      </c>
      <c r="Z80" s="276">
        <v>25535</v>
      </c>
      <c r="AA80" s="285">
        <v>4519</v>
      </c>
      <c r="AB80" s="295">
        <v>28989.599672249013</v>
      </c>
    </row>
    <row r="81" spans="1:28" ht="13.5" customHeight="1">
      <c r="A81" s="18">
        <v>25</v>
      </c>
      <c r="B81" s="19" t="s">
        <v>30</v>
      </c>
      <c r="C81" s="274">
        <v>310</v>
      </c>
      <c r="D81" s="275">
        <v>0</v>
      </c>
      <c r="E81" s="275">
        <v>16</v>
      </c>
      <c r="F81" s="275">
        <v>151</v>
      </c>
      <c r="G81" s="275">
        <v>4568</v>
      </c>
      <c r="H81" s="275">
        <v>6481</v>
      </c>
      <c r="I81" s="275">
        <v>2954</v>
      </c>
      <c r="J81" s="275">
        <v>2982</v>
      </c>
      <c r="K81" s="275">
        <v>945</v>
      </c>
      <c r="L81" s="275">
        <v>535</v>
      </c>
      <c r="M81" s="275">
        <v>950</v>
      </c>
      <c r="N81" s="275">
        <v>256</v>
      </c>
      <c r="O81" s="275">
        <v>5849</v>
      </c>
      <c r="P81" s="275">
        <v>1610</v>
      </c>
      <c r="Q81" s="275">
        <v>1466</v>
      </c>
      <c r="R81" s="275">
        <v>1456</v>
      </c>
      <c r="S81" s="275">
        <v>8294</v>
      </c>
      <c r="T81" s="275">
        <v>2946</v>
      </c>
      <c r="U81" s="275">
        <v>41769</v>
      </c>
      <c r="V81" s="276">
        <v>42</v>
      </c>
      <c r="W81" s="277">
        <v>41811</v>
      </c>
      <c r="X81" s="275">
        <v>326</v>
      </c>
      <c r="Y81" s="275">
        <v>7673</v>
      </c>
      <c r="Z81" s="276">
        <v>33770</v>
      </c>
      <c r="AA81" s="285">
        <v>5692</v>
      </c>
      <c r="AB81" s="295">
        <v>46603.275229747975</v>
      </c>
    </row>
    <row r="82" spans="1:28" ht="13.5" customHeight="1">
      <c r="A82" s="20">
        <v>26</v>
      </c>
      <c r="B82" s="21" t="s">
        <v>31</v>
      </c>
      <c r="C82" s="278">
        <v>215</v>
      </c>
      <c r="D82" s="279">
        <v>1</v>
      </c>
      <c r="E82" s="279">
        <v>60</v>
      </c>
      <c r="F82" s="279">
        <v>23</v>
      </c>
      <c r="G82" s="279">
        <v>15147</v>
      </c>
      <c r="H82" s="279">
        <v>3721</v>
      </c>
      <c r="I82" s="279">
        <v>4485</v>
      </c>
      <c r="J82" s="279">
        <v>13013</v>
      </c>
      <c r="K82" s="279">
        <v>4398</v>
      </c>
      <c r="L82" s="279">
        <v>1899</v>
      </c>
      <c r="M82" s="279">
        <v>380</v>
      </c>
      <c r="N82" s="279">
        <v>870</v>
      </c>
      <c r="O82" s="279">
        <v>9428</v>
      </c>
      <c r="P82" s="279">
        <v>3869</v>
      </c>
      <c r="Q82" s="279">
        <v>2650</v>
      </c>
      <c r="R82" s="279">
        <v>19642</v>
      </c>
      <c r="S82" s="279">
        <v>14544</v>
      </c>
      <c r="T82" s="279">
        <v>4992</v>
      </c>
      <c r="U82" s="279">
        <v>99337</v>
      </c>
      <c r="V82" s="280">
        <v>100</v>
      </c>
      <c r="W82" s="281">
        <v>99437</v>
      </c>
      <c r="X82" s="279">
        <v>276</v>
      </c>
      <c r="Y82" s="279">
        <v>19655</v>
      </c>
      <c r="Z82" s="280">
        <v>79406</v>
      </c>
      <c r="AA82" s="286">
        <v>4934</v>
      </c>
      <c r="AB82" s="296">
        <v>102035.44889762173</v>
      </c>
    </row>
    <row r="83" spans="1:28" ht="13.5" customHeight="1">
      <c r="A83" s="18">
        <v>27</v>
      </c>
      <c r="B83" s="19" t="s">
        <v>32</v>
      </c>
      <c r="C83" s="270">
        <v>238</v>
      </c>
      <c r="D83" s="271">
        <v>0</v>
      </c>
      <c r="E83" s="271">
        <v>129</v>
      </c>
      <c r="F83" s="271">
        <v>0</v>
      </c>
      <c r="G83" s="271">
        <v>545</v>
      </c>
      <c r="H83" s="271">
        <v>608</v>
      </c>
      <c r="I83" s="271">
        <v>3137</v>
      </c>
      <c r="J83" s="271">
        <v>4219</v>
      </c>
      <c r="K83" s="271">
        <v>752</v>
      </c>
      <c r="L83" s="271">
        <v>1307</v>
      </c>
      <c r="M83" s="271">
        <v>251</v>
      </c>
      <c r="N83" s="271">
        <v>1565</v>
      </c>
      <c r="O83" s="271">
        <v>5344</v>
      </c>
      <c r="P83" s="271">
        <v>1168</v>
      </c>
      <c r="Q83" s="271">
        <v>2873</v>
      </c>
      <c r="R83" s="271">
        <v>2395</v>
      </c>
      <c r="S83" s="271">
        <v>5628</v>
      </c>
      <c r="T83" s="271">
        <v>1693</v>
      </c>
      <c r="U83" s="271">
        <v>31852</v>
      </c>
      <c r="V83" s="272">
        <v>32</v>
      </c>
      <c r="W83" s="273">
        <v>31884</v>
      </c>
      <c r="X83" s="271">
        <v>367</v>
      </c>
      <c r="Y83" s="271">
        <v>3682</v>
      </c>
      <c r="Z83" s="272">
        <v>27803</v>
      </c>
      <c r="AA83" s="284">
        <v>5196</v>
      </c>
      <c r="AB83" s="294">
        <v>32412.510885761276</v>
      </c>
    </row>
    <row r="84" spans="1:28" ht="13.5" customHeight="1">
      <c r="A84" s="18">
        <v>28</v>
      </c>
      <c r="B84" s="19" t="s">
        <v>33</v>
      </c>
      <c r="C84" s="274">
        <v>781</v>
      </c>
      <c r="D84" s="275">
        <v>11</v>
      </c>
      <c r="E84" s="275">
        <v>0</v>
      </c>
      <c r="F84" s="275">
        <v>13</v>
      </c>
      <c r="G84" s="275">
        <v>3620</v>
      </c>
      <c r="H84" s="275">
        <v>2074</v>
      </c>
      <c r="I84" s="275">
        <v>5874</v>
      </c>
      <c r="J84" s="275">
        <v>11830</v>
      </c>
      <c r="K84" s="275">
        <v>2743</v>
      </c>
      <c r="L84" s="275">
        <v>2473</v>
      </c>
      <c r="M84" s="275">
        <v>281</v>
      </c>
      <c r="N84" s="275">
        <v>1146</v>
      </c>
      <c r="O84" s="275">
        <v>8559</v>
      </c>
      <c r="P84" s="275">
        <v>3289</v>
      </c>
      <c r="Q84" s="275">
        <v>2714</v>
      </c>
      <c r="R84" s="275">
        <v>4882</v>
      </c>
      <c r="S84" s="275">
        <v>21459</v>
      </c>
      <c r="T84" s="275">
        <v>7233</v>
      </c>
      <c r="U84" s="275">
        <v>78982</v>
      </c>
      <c r="V84" s="276">
        <v>80</v>
      </c>
      <c r="W84" s="277">
        <v>79062</v>
      </c>
      <c r="X84" s="275">
        <v>792</v>
      </c>
      <c r="Y84" s="275">
        <v>9507</v>
      </c>
      <c r="Z84" s="276">
        <v>68683</v>
      </c>
      <c r="AA84" s="285">
        <v>4694</v>
      </c>
      <c r="AB84" s="295">
        <v>80578.839423401034</v>
      </c>
    </row>
    <row r="85" spans="1:28" ht="13.5" customHeight="1">
      <c r="A85" s="18">
        <v>29</v>
      </c>
      <c r="B85" s="19" t="s">
        <v>34</v>
      </c>
      <c r="C85" s="274">
        <v>5</v>
      </c>
      <c r="D85" s="275">
        <v>2</v>
      </c>
      <c r="E85" s="275">
        <v>21</v>
      </c>
      <c r="F85" s="275">
        <v>0</v>
      </c>
      <c r="G85" s="275">
        <v>16</v>
      </c>
      <c r="H85" s="275">
        <v>180</v>
      </c>
      <c r="I85" s="275">
        <v>230</v>
      </c>
      <c r="J85" s="275">
        <v>31</v>
      </c>
      <c r="K85" s="275">
        <v>252</v>
      </c>
      <c r="L85" s="275">
        <v>422</v>
      </c>
      <c r="M85" s="275">
        <v>0</v>
      </c>
      <c r="N85" s="275">
        <v>6</v>
      </c>
      <c r="O85" s="275">
        <v>108</v>
      </c>
      <c r="P85" s="275">
        <v>48</v>
      </c>
      <c r="Q85" s="275">
        <v>412</v>
      </c>
      <c r="R85" s="275">
        <v>314</v>
      </c>
      <c r="S85" s="275">
        <v>107</v>
      </c>
      <c r="T85" s="275">
        <v>612</v>
      </c>
      <c r="U85" s="275">
        <v>2766</v>
      </c>
      <c r="V85" s="276">
        <v>3</v>
      </c>
      <c r="W85" s="277">
        <v>2769</v>
      </c>
      <c r="X85" s="275">
        <v>28</v>
      </c>
      <c r="Y85" s="275">
        <v>246</v>
      </c>
      <c r="Z85" s="276">
        <v>2492</v>
      </c>
      <c r="AA85" s="285">
        <v>4824</v>
      </c>
      <c r="AB85" s="295">
        <v>2916.5183609655078</v>
      </c>
    </row>
    <row r="86" spans="1:28" ht="13.5" customHeight="1">
      <c r="A86" s="18">
        <v>30</v>
      </c>
      <c r="B86" s="19" t="s">
        <v>35</v>
      </c>
      <c r="C86" s="274">
        <v>2</v>
      </c>
      <c r="D86" s="275">
        <v>0</v>
      </c>
      <c r="E86" s="275">
        <v>28</v>
      </c>
      <c r="F86" s="275">
        <v>0</v>
      </c>
      <c r="G86" s="275">
        <v>25</v>
      </c>
      <c r="H86" s="275">
        <v>91</v>
      </c>
      <c r="I86" s="275">
        <v>169</v>
      </c>
      <c r="J86" s="275">
        <v>86</v>
      </c>
      <c r="K86" s="275">
        <v>229</v>
      </c>
      <c r="L86" s="275">
        <v>588</v>
      </c>
      <c r="M86" s="275">
        <v>0</v>
      </c>
      <c r="N86" s="275">
        <v>10</v>
      </c>
      <c r="O86" s="275">
        <v>208</v>
      </c>
      <c r="P86" s="275">
        <v>161</v>
      </c>
      <c r="Q86" s="275">
        <v>428</v>
      </c>
      <c r="R86" s="275">
        <v>515</v>
      </c>
      <c r="S86" s="275">
        <v>191</v>
      </c>
      <c r="T86" s="275">
        <v>796</v>
      </c>
      <c r="U86" s="275">
        <v>3527</v>
      </c>
      <c r="V86" s="276">
        <v>3</v>
      </c>
      <c r="W86" s="277">
        <v>3530</v>
      </c>
      <c r="X86" s="275">
        <v>30</v>
      </c>
      <c r="Y86" s="275">
        <v>194</v>
      </c>
      <c r="Z86" s="276">
        <v>3303</v>
      </c>
      <c r="AA86" s="285">
        <v>5684</v>
      </c>
      <c r="AB86" s="295">
        <v>3669.7427487426116</v>
      </c>
    </row>
    <row r="87" spans="1:28" ht="13.5" customHeight="1">
      <c r="A87" s="18">
        <v>31</v>
      </c>
      <c r="B87" s="19" t="s">
        <v>36</v>
      </c>
      <c r="C87" s="274">
        <v>49</v>
      </c>
      <c r="D87" s="275">
        <v>0</v>
      </c>
      <c r="E87" s="275">
        <v>5</v>
      </c>
      <c r="F87" s="275">
        <v>13</v>
      </c>
      <c r="G87" s="275">
        <v>108</v>
      </c>
      <c r="H87" s="275">
        <v>82</v>
      </c>
      <c r="I87" s="275">
        <v>192</v>
      </c>
      <c r="J87" s="275">
        <v>24</v>
      </c>
      <c r="K87" s="275">
        <v>146</v>
      </c>
      <c r="L87" s="275">
        <v>78</v>
      </c>
      <c r="M87" s="275">
        <v>0</v>
      </c>
      <c r="N87" s="275">
        <v>6</v>
      </c>
      <c r="O87" s="275">
        <v>205</v>
      </c>
      <c r="P87" s="275">
        <v>8</v>
      </c>
      <c r="Q87" s="275">
        <v>410</v>
      </c>
      <c r="R87" s="275">
        <v>238</v>
      </c>
      <c r="S87" s="275">
        <v>269</v>
      </c>
      <c r="T87" s="275">
        <v>77</v>
      </c>
      <c r="U87" s="275">
        <v>1910</v>
      </c>
      <c r="V87" s="276">
        <v>2</v>
      </c>
      <c r="W87" s="277">
        <v>1912</v>
      </c>
      <c r="X87" s="275">
        <v>54</v>
      </c>
      <c r="Y87" s="275">
        <v>313</v>
      </c>
      <c r="Z87" s="276">
        <v>1543</v>
      </c>
      <c r="AA87" s="285">
        <v>4585</v>
      </c>
      <c r="AB87" s="295">
        <v>1980.91863578671</v>
      </c>
    </row>
    <row r="88" spans="1:28" ht="13.5" customHeight="1">
      <c r="A88" s="18">
        <v>32</v>
      </c>
      <c r="B88" s="19" t="s">
        <v>37</v>
      </c>
      <c r="C88" s="274">
        <v>3</v>
      </c>
      <c r="D88" s="275">
        <v>0</v>
      </c>
      <c r="E88" s="275">
        <v>73</v>
      </c>
      <c r="F88" s="275">
        <v>0</v>
      </c>
      <c r="G88" s="275">
        <v>0</v>
      </c>
      <c r="H88" s="275">
        <v>43</v>
      </c>
      <c r="I88" s="275">
        <v>333</v>
      </c>
      <c r="J88" s="275">
        <v>15</v>
      </c>
      <c r="K88" s="275">
        <v>34</v>
      </c>
      <c r="L88" s="275">
        <v>43</v>
      </c>
      <c r="M88" s="275">
        <v>0</v>
      </c>
      <c r="N88" s="275">
        <v>6</v>
      </c>
      <c r="O88" s="275">
        <v>66</v>
      </c>
      <c r="P88" s="275">
        <v>0</v>
      </c>
      <c r="Q88" s="275">
        <v>302</v>
      </c>
      <c r="R88" s="275">
        <v>183</v>
      </c>
      <c r="S88" s="275">
        <v>125</v>
      </c>
      <c r="T88" s="275">
        <v>16</v>
      </c>
      <c r="U88" s="275">
        <v>1242</v>
      </c>
      <c r="V88" s="276">
        <v>1</v>
      </c>
      <c r="W88" s="277">
        <v>1243</v>
      </c>
      <c r="X88" s="275">
        <v>76</v>
      </c>
      <c r="Y88" s="275">
        <v>333</v>
      </c>
      <c r="Z88" s="276">
        <v>833</v>
      </c>
      <c r="AA88" s="285">
        <v>4185</v>
      </c>
      <c r="AB88" s="295">
        <v>1305.3927596031035</v>
      </c>
    </row>
    <row r="89" spans="1:28" ht="13.5" customHeight="1">
      <c r="A89" s="18">
        <v>33</v>
      </c>
      <c r="B89" s="19" t="s">
        <v>38</v>
      </c>
      <c r="C89" s="274">
        <v>800</v>
      </c>
      <c r="D89" s="275">
        <v>0</v>
      </c>
      <c r="E89" s="275">
        <v>28</v>
      </c>
      <c r="F89" s="275">
        <v>36</v>
      </c>
      <c r="G89" s="275">
        <v>1202</v>
      </c>
      <c r="H89" s="275">
        <v>222</v>
      </c>
      <c r="I89" s="275">
        <v>941</v>
      </c>
      <c r="J89" s="275">
        <v>216</v>
      </c>
      <c r="K89" s="275">
        <v>82</v>
      </c>
      <c r="L89" s="275">
        <v>163</v>
      </c>
      <c r="M89" s="275">
        <v>0</v>
      </c>
      <c r="N89" s="275">
        <v>6</v>
      </c>
      <c r="O89" s="275">
        <v>116</v>
      </c>
      <c r="P89" s="275">
        <v>59</v>
      </c>
      <c r="Q89" s="275">
        <v>767</v>
      </c>
      <c r="R89" s="275">
        <v>297</v>
      </c>
      <c r="S89" s="275">
        <v>157</v>
      </c>
      <c r="T89" s="275">
        <v>171</v>
      </c>
      <c r="U89" s="275">
        <v>5263</v>
      </c>
      <c r="V89" s="276">
        <v>6</v>
      </c>
      <c r="W89" s="277">
        <v>5269</v>
      </c>
      <c r="X89" s="275">
        <v>828</v>
      </c>
      <c r="Y89" s="275">
        <v>2179</v>
      </c>
      <c r="Z89" s="276">
        <v>2256</v>
      </c>
      <c r="AA89" s="285">
        <v>4980</v>
      </c>
      <c r="AB89" s="295">
        <v>5511.9220929618832</v>
      </c>
    </row>
    <row r="90" spans="1:28" ht="13.5" customHeight="1">
      <c r="A90" s="18">
        <v>34</v>
      </c>
      <c r="B90" s="19" t="s">
        <v>39</v>
      </c>
      <c r="C90" s="274">
        <v>302</v>
      </c>
      <c r="D90" s="275">
        <v>0</v>
      </c>
      <c r="E90" s="275">
        <v>10</v>
      </c>
      <c r="F90" s="275">
        <v>0</v>
      </c>
      <c r="G90" s="275">
        <v>359</v>
      </c>
      <c r="H90" s="275">
        <v>73</v>
      </c>
      <c r="I90" s="275">
        <v>1918</v>
      </c>
      <c r="J90" s="275">
        <v>55</v>
      </c>
      <c r="K90" s="275">
        <v>104</v>
      </c>
      <c r="L90" s="275">
        <v>130</v>
      </c>
      <c r="M90" s="275">
        <v>0</v>
      </c>
      <c r="N90" s="275">
        <v>4</v>
      </c>
      <c r="O90" s="275">
        <v>31</v>
      </c>
      <c r="P90" s="275">
        <v>6</v>
      </c>
      <c r="Q90" s="275">
        <v>355</v>
      </c>
      <c r="R90" s="275">
        <v>242</v>
      </c>
      <c r="S90" s="275">
        <v>109</v>
      </c>
      <c r="T90" s="275">
        <v>51</v>
      </c>
      <c r="U90" s="275">
        <v>3749</v>
      </c>
      <c r="V90" s="276">
        <v>4</v>
      </c>
      <c r="W90" s="277">
        <v>3753</v>
      </c>
      <c r="X90" s="275">
        <v>312</v>
      </c>
      <c r="Y90" s="275">
        <v>2277</v>
      </c>
      <c r="Z90" s="276">
        <v>1160</v>
      </c>
      <c r="AA90" s="285">
        <v>6666</v>
      </c>
      <c r="AB90" s="295">
        <v>3915.3621183884788</v>
      </c>
    </row>
    <row r="91" spans="1:28" ht="13.5" customHeight="1">
      <c r="A91" s="18">
        <v>35</v>
      </c>
      <c r="B91" s="19" t="s">
        <v>40</v>
      </c>
      <c r="C91" s="274">
        <v>125</v>
      </c>
      <c r="D91" s="275">
        <v>1</v>
      </c>
      <c r="E91" s="275">
        <v>88</v>
      </c>
      <c r="F91" s="275">
        <v>0</v>
      </c>
      <c r="G91" s="275">
        <v>562</v>
      </c>
      <c r="H91" s="275">
        <v>104</v>
      </c>
      <c r="I91" s="275">
        <v>599</v>
      </c>
      <c r="J91" s="275">
        <v>192</v>
      </c>
      <c r="K91" s="275">
        <v>239</v>
      </c>
      <c r="L91" s="275">
        <v>101</v>
      </c>
      <c r="M91" s="275">
        <v>0</v>
      </c>
      <c r="N91" s="275">
        <v>6</v>
      </c>
      <c r="O91" s="275">
        <v>150</v>
      </c>
      <c r="P91" s="275">
        <v>115</v>
      </c>
      <c r="Q91" s="275">
        <v>605</v>
      </c>
      <c r="R91" s="275">
        <v>446</v>
      </c>
      <c r="S91" s="275">
        <v>159</v>
      </c>
      <c r="T91" s="275">
        <v>149</v>
      </c>
      <c r="U91" s="275">
        <v>3641</v>
      </c>
      <c r="V91" s="276">
        <v>4</v>
      </c>
      <c r="W91" s="277">
        <v>3645</v>
      </c>
      <c r="X91" s="275">
        <v>214</v>
      </c>
      <c r="Y91" s="275">
        <v>1161</v>
      </c>
      <c r="Z91" s="276">
        <v>2266</v>
      </c>
      <c r="AA91" s="285">
        <v>5007</v>
      </c>
      <c r="AB91" s="295">
        <v>3802.8858023372836</v>
      </c>
    </row>
    <row r="92" spans="1:28" ht="13.5" customHeight="1">
      <c r="A92" s="18">
        <v>36</v>
      </c>
      <c r="B92" s="19" t="s">
        <v>41</v>
      </c>
      <c r="C92" s="274">
        <v>369</v>
      </c>
      <c r="D92" s="275">
        <v>0</v>
      </c>
      <c r="E92" s="275">
        <v>118</v>
      </c>
      <c r="F92" s="275">
        <v>0</v>
      </c>
      <c r="G92" s="275">
        <v>173</v>
      </c>
      <c r="H92" s="275">
        <v>59</v>
      </c>
      <c r="I92" s="275">
        <v>465</v>
      </c>
      <c r="J92" s="275">
        <v>145</v>
      </c>
      <c r="K92" s="275">
        <v>410</v>
      </c>
      <c r="L92" s="275">
        <v>163</v>
      </c>
      <c r="M92" s="275">
        <v>0</v>
      </c>
      <c r="N92" s="275">
        <v>6</v>
      </c>
      <c r="O92" s="275">
        <v>284</v>
      </c>
      <c r="P92" s="275">
        <v>26</v>
      </c>
      <c r="Q92" s="275">
        <v>700</v>
      </c>
      <c r="R92" s="275">
        <v>334</v>
      </c>
      <c r="S92" s="275">
        <v>341</v>
      </c>
      <c r="T92" s="275">
        <v>175</v>
      </c>
      <c r="U92" s="275">
        <v>3768</v>
      </c>
      <c r="V92" s="276">
        <v>4</v>
      </c>
      <c r="W92" s="277">
        <v>3772</v>
      </c>
      <c r="X92" s="275">
        <v>487</v>
      </c>
      <c r="Y92" s="275">
        <v>638</v>
      </c>
      <c r="Z92" s="276">
        <v>2643</v>
      </c>
      <c r="AA92" s="285">
        <v>4257</v>
      </c>
      <c r="AB92" s="295">
        <v>3957.3086231718371</v>
      </c>
    </row>
    <row r="93" spans="1:28" ht="13.5" customHeight="1">
      <c r="A93" s="18">
        <v>37</v>
      </c>
      <c r="B93" s="19" t="s">
        <v>49</v>
      </c>
      <c r="C93" s="274">
        <v>1154</v>
      </c>
      <c r="D93" s="275">
        <v>0</v>
      </c>
      <c r="E93" s="275">
        <v>580</v>
      </c>
      <c r="F93" s="275">
        <v>13</v>
      </c>
      <c r="G93" s="275">
        <v>1708</v>
      </c>
      <c r="H93" s="275">
        <v>1088</v>
      </c>
      <c r="I93" s="275">
        <v>1518</v>
      </c>
      <c r="J93" s="275">
        <v>1151</v>
      </c>
      <c r="K93" s="275">
        <v>978</v>
      </c>
      <c r="L93" s="275">
        <v>1024</v>
      </c>
      <c r="M93" s="275">
        <v>0</v>
      </c>
      <c r="N93" s="275">
        <v>200</v>
      </c>
      <c r="O93" s="275">
        <v>1943</v>
      </c>
      <c r="P93" s="275">
        <v>714</v>
      </c>
      <c r="Q93" s="275">
        <v>3863</v>
      </c>
      <c r="R93" s="275">
        <v>1787</v>
      </c>
      <c r="S93" s="275">
        <v>1476</v>
      </c>
      <c r="T93" s="275">
        <v>1002</v>
      </c>
      <c r="U93" s="275">
        <v>20199</v>
      </c>
      <c r="V93" s="276">
        <v>21</v>
      </c>
      <c r="W93" s="277">
        <v>20220</v>
      </c>
      <c r="X93" s="275">
        <v>1734</v>
      </c>
      <c r="Y93" s="275">
        <v>3239</v>
      </c>
      <c r="Z93" s="276">
        <v>15226</v>
      </c>
      <c r="AA93" s="285">
        <v>4195</v>
      </c>
      <c r="AB93" s="295">
        <v>21078.190008833542</v>
      </c>
    </row>
    <row r="94" spans="1:28" ht="13.5" customHeight="1">
      <c r="A94" s="20">
        <v>38</v>
      </c>
      <c r="B94" s="21" t="s">
        <v>50</v>
      </c>
      <c r="C94" s="278">
        <v>3227</v>
      </c>
      <c r="D94" s="279">
        <v>0</v>
      </c>
      <c r="E94" s="279">
        <v>160</v>
      </c>
      <c r="F94" s="279">
        <v>38</v>
      </c>
      <c r="G94" s="279">
        <v>1402</v>
      </c>
      <c r="H94" s="279">
        <v>1327</v>
      </c>
      <c r="I94" s="279">
        <v>5504</v>
      </c>
      <c r="J94" s="279">
        <v>2972</v>
      </c>
      <c r="K94" s="279">
        <v>1388</v>
      </c>
      <c r="L94" s="279">
        <v>624</v>
      </c>
      <c r="M94" s="279">
        <v>55</v>
      </c>
      <c r="N94" s="279">
        <v>303</v>
      </c>
      <c r="O94" s="279">
        <v>7191</v>
      </c>
      <c r="P94" s="279">
        <v>1813</v>
      </c>
      <c r="Q94" s="279">
        <v>6597</v>
      </c>
      <c r="R94" s="279">
        <v>4689</v>
      </c>
      <c r="S94" s="279">
        <v>7916</v>
      </c>
      <c r="T94" s="279">
        <v>3049</v>
      </c>
      <c r="U94" s="279">
        <v>48255</v>
      </c>
      <c r="V94" s="280">
        <v>49</v>
      </c>
      <c r="W94" s="281">
        <v>48304</v>
      </c>
      <c r="X94" s="279">
        <v>3387</v>
      </c>
      <c r="Y94" s="279">
        <v>6944</v>
      </c>
      <c r="Z94" s="280">
        <v>37924</v>
      </c>
      <c r="AA94" s="286">
        <v>5209</v>
      </c>
      <c r="AB94" s="296">
        <v>49440.84769552201</v>
      </c>
    </row>
    <row r="95" spans="1:28" ht="13.5" customHeight="1">
      <c r="A95" s="20">
        <v>39</v>
      </c>
      <c r="B95" s="21" t="s">
        <v>42</v>
      </c>
      <c r="C95" s="266">
        <v>711</v>
      </c>
      <c r="D95" s="267">
        <v>0</v>
      </c>
      <c r="E95" s="267">
        <v>4</v>
      </c>
      <c r="F95" s="267">
        <v>0</v>
      </c>
      <c r="G95" s="267">
        <v>415</v>
      </c>
      <c r="H95" s="267">
        <v>84</v>
      </c>
      <c r="I95" s="267">
        <v>307</v>
      </c>
      <c r="J95" s="267">
        <v>106</v>
      </c>
      <c r="K95" s="267">
        <v>133</v>
      </c>
      <c r="L95" s="267">
        <v>79</v>
      </c>
      <c r="M95" s="267">
        <v>0</v>
      </c>
      <c r="N95" s="267">
        <v>6</v>
      </c>
      <c r="O95" s="267">
        <v>229</v>
      </c>
      <c r="P95" s="267">
        <v>37</v>
      </c>
      <c r="Q95" s="267">
        <v>602</v>
      </c>
      <c r="R95" s="267">
        <v>310</v>
      </c>
      <c r="S95" s="267">
        <v>153</v>
      </c>
      <c r="T95" s="267">
        <v>99</v>
      </c>
      <c r="U95" s="267">
        <v>3275</v>
      </c>
      <c r="V95" s="268">
        <v>4</v>
      </c>
      <c r="W95" s="269">
        <v>3279</v>
      </c>
      <c r="X95" s="267">
        <v>715</v>
      </c>
      <c r="Y95" s="267">
        <v>722</v>
      </c>
      <c r="Z95" s="268">
        <v>1838</v>
      </c>
      <c r="AA95" s="283">
        <v>4390</v>
      </c>
      <c r="AB95" s="293">
        <v>3386.2540769902716</v>
      </c>
    </row>
    <row r="96" spans="1:28" ht="13.5" customHeight="1">
      <c r="A96" s="18">
        <v>40</v>
      </c>
      <c r="B96" s="19" t="s">
        <v>43</v>
      </c>
      <c r="C96" s="270">
        <v>1034</v>
      </c>
      <c r="D96" s="271">
        <v>5</v>
      </c>
      <c r="E96" s="271">
        <v>32</v>
      </c>
      <c r="F96" s="271">
        <v>0</v>
      </c>
      <c r="G96" s="271">
        <v>723</v>
      </c>
      <c r="H96" s="271">
        <v>310</v>
      </c>
      <c r="I96" s="271">
        <v>1991</v>
      </c>
      <c r="J96" s="271">
        <v>346</v>
      </c>
      <c r="K96" s="271">
        <v>1211</v>
      </c>
      <c r="L96" s="271">
        <v>2293</v>
      </c>
      <c r="M96" s="271">
        <v>0</v>
      </c>
      <c r="N96" s="271">
        <v>46</v>
      </c>
      <c r="O96" s="271">
        <v>1061</v>
      </c>
      <c r="P96" s="271">
        <v>919</v>
      </c>
      <c r="Q96" s="271">
        <v>538</v>
      </c>
      <c r="R96" s="271">
        <v>1847</v>
      </c>
      <c r="S96" s="271">
        <v>427</v>
      </c>
      <c r="T96" s="271">
        <v>1837</v>
      </c>
      <c r="U96" s="271">
        <v>14620</v>
      </c>
      <c r="V96" s="272">
        <v>15</v>
      </c>
      <c r="W96" s="273">
        <v>14635</v>
      </c>
      <c r="X96" s="271">
        <v>1071</v>
      </c>
      <c r="Y96" s="271">
        <v>2714</v>
      </c>
      <c r="Z96" s="272">
        <v>10835</v>
      </c>
      <c r="AA96" s="284">
        <v>5266</v>
      </c>
      <c r="AB96" s="294">
        <v>15280.859566127589</v>
      </c>
    </row>
    <row r="97" spans="1:28" ht="13.5" customHeight="1">
      <c r="A97" s="20">
        <v>41</v>
      </c>
      <c r="B97" s="21" t="s">
        <v>44</v>
      </c>
      <c r="C97" s="278">
        <v>197</v>
      </c>
      <c r="D97" s="279">
        <v>0</v>
      </c>
      <c r="E97" s="279">
        <v>128</v>
      </c>
      <c r="F97" s="279">
        <v>5</v>
      </c>
      <c r="G97" s="279">
        <v>286</v>
      </c>
      <c r="H97" s="279">
        <v>243</v>
      </c>
      <c r="I97" s="279">
        <v>375</v>
      </c>
      <c r="J97" s="279">
        <v>174</v>
      </c>
      <c r="K97" s="279">
        <v>367</v>
      </c>
      <c r="L97" s="279">
        <v>353</v>
      </c>
      <c r="M97" s="279">
        <v>0</v>
      </c>
      <c r="N97" s="279">
        <v>10</v>
      </c>
      <c r="O97" s="279">
        <v>352</v>
      </c>
      <c r="P97" s="279">
        <v>123</v>
      </c>
      <c r="Q97" s="279">
        <v>781</v>
      </c>
      <c r="R97" s="279">
        <v>671</v>
      </c>
      <c r="S97" s="279">
        <v>367</v>
      </c>
      <c r="T97" s="279">
        <v>323</v>
      </c>
      <c r="U97" s="279">
        <v>4755</v>
      </c>
      <c r="V97" s="280">
        <v>5</v>
      </c>
      <c r="W97" s="281">
        <v>4760</v>
      </c>
      <c r="X97" s="279">
        <v>325</v>
      </c>
      <c r="Y97" s="279">
        <v>666</v>
      </c>
      <c r="Z97" s="280">
        <v>3764</v>
      </c>
      <c r="AA97" s="286">
        <v>3464</v>
      </c>
      <c r="AB97" s="296">
        <v>4958.4331871988779</v>
      </c>
    </row>
    <row r="98" spans="1:28" ht="15.75" customHeight="1">
      <c r="A98" s="123" t="s">
        <v>146</v>
      </c>
      <c r="B98" s="7" t="s">
        <v>152</v>
      </c>
      <c r="C98" s="270">
        <v>15091</v>
      </c>
      <c r="D98" s="271">
        <v>179</v>
      </c>
      <c r="E98" s="271">
        <v>1691</v>
      </c>
      <c r="F98" s="271">
        <v>1052</v>
      </c>
      <c r="G98" s="271">
        <v>20831</v>
      </c>
      <c r="H98" s="271">
        <v>18327</v>
      </c>
      <c r="I98" s="271">
        <v>38804</v>
      </c>
      <c r="J98" s="271">
        <v>21433</v>
      </c>
      <c r="K98" s="271">
        <v>11668</v>
      </c>
      <c r="L98" s="271">
        <v>23886</v>
      </c>
      <c r="M98" s="271">
        <v>3362</v>
      </c>
      <c r="N98" s="271">
        <v>5622</v>
      </c>
      <c r="O98" s="271">
        <v>36409</v>
      </c>
      <c r="P98" s="271">
        <v>21027</v>
      </c>
      <c r="Q98" s="271">
        <v>29551</v>
      </c>
      <c r="R98" s="271">
        <v>27830</v>
      </c>
      <c r="S98" s="271">
        <v>46342</v>
      </c>
      <c r="T98" s="271">
        <v>23864</v>
      </c>
      <c r="U98" s="271">
        <v>346969</v>
      </c>
      <c r="V98" s="272">
        <v>352</v>
      </c>
      <c r="W98" s="273">
        <v>347321</v>
      </c>
      <c r="X98" s="271">
        <v>16961</v>
      </c>
      <c r="Y98" s="271">
        <v>60687</v>
      </c>
      <c r="Z98" s="272">
        <v>269321</v>
      </c>
      <c r="AA98" s="284">
        <v>4971</v>
      </c>
      <c r="AB98" s="294">
        <v>360779.86986509454</v>
      </c>
    </row>
    <row r="99" spans="1:28" ht="15.75" customHeight="1">
      <c r="A99" s="124" t="s">
        <v>147</v>
      </c>
      <c r="B99" s="17" t="s">
        <v>153</v>
      </c>
      <c r="C99" s="274">
        <v>5686</v>
      </c>
      <c r="D99" s="275">
        <v>10</v>
      </c>
      <c r="E99" s="275">
        <v>1508</v>
      </c>
      <c r="F99" s="275">
        <v>1024</v>
      </c>
      <c r="G99" s="275">
        <v>73432</v>
      </c>
      <c r="H99" s="275">
        <v>70483</v>
      </c>
      <c r="I99" s="275">
        <v>91768</v>
      </c>
      <c r="J99" s="275">
        <v>175310</v>
      </c>
      <c r="K99" s="275">
        <v>54584</v>
      </c>
      <c r="L99" s="275">
        <v>46454</v>
      </c>
      <c r="M99" s="275">
        <v>64783</v>
      </c>
      <c r="N99" s="275">
        <v>32090</v>
      </c>
      <c r="O99" s="275">
        <v>197700</v>
      </c>
      <c r="P99" s="275">
        <v>116715</v>
      </c>
      <c r="Q99" s="275">
        <v>88358</v>
      </c>
      <c r="R99" s="275">
        <v>94628</v>
      </c>
      <c r="S99" s="275">
        <v>173373</v>
      </c>
      <c r="T99" s="275">
        <v>89958</v>
      </c>
      <c r="U99" s="275">
        <v>1377864</v>
      </c>
      <c r="V99" s="276">
        <v>1394</v>
      </c>
      <c r="W99" s="277">
        <v>1379258</v>
      </c>
      <c r="X99" s="275">
        <v>7204</v>
      </c>
      <c r="Y99" s="275">
        <v>166224</v>
      </c>
      <c r="Z99" s="276">
        <v>1204436</v>
      </c>
      <c r="AA99" s="285">
        <v>5553</v>
      </c>
      <c r="AB99" s="295">
        <v>1422235.1606178184</v>
      </c>
    </row>
    <row r="100" spans="1:28" ht="15.75" customHeight="1">
      <c r="A100" s="124" t="s">
        <v>148</v>
      </c>
      <c r="B100" s="17" t="s">
        <v>154</v>
      </c>
      <c r="C100" s="274">
        <v>14332</v>
      </c>
      <c r="D100" s="275">
        <v>18</v>
      </c>
      <c r="E100" s="275">
        <v>2270</v>
      </c>
      <c r="F100" s="275">
        <v>596</v>
      </c>
      <c r="G100" s="275">
        <v>38788</v>
      </c>
      <c r="H100" s="275">
        <v>13959</v>
      </c>
      <c r="I100" s="275">
        <v>45856</v>
      </c>
      <c r="J100" s="275">
        <v>49854</v>
      </c>
      <c r="K100" s="275">
        <v>23749</v>
      </c>
      <c r="L100" s="275">
        <v>14803</v>
      </c>
      <c r="M100" s="275">
        <v>5510</v>
      </c>
      <c r="N100" s="275">
        <v>6774</v>
      </c>
      <c r="O100" s="275">
        <v>66919</v>
      </c>
      <c r="P100" s="275">
        <v>29205</v>
      </c>
      <c r="Q100" s="275">
        <v>42165</v>
      </c>
      <c r="R100" s="275">
        <v>32947</v>
      </c>
      <c r="S100" s="275">
        <v>85090</v>
      </c>
      <c r="T100" s="275">
        <v>34090</v>
      </c>
      <c r="U100" s="275">
        <v>506925</v>
      </c>
      <c r="V100" s="276">
        <v>515</v>
      </c>
      <c r="W100" s="277">
        <v>507440</v>
      </c>
      <c r="X100" s="275">
        <v>16620</v>
      </c>
      <c r="Y100" s="275">
        <v>85240</v>
      </c>
      <c r="Z100" s="276">
        <v>405065</v>
      </c>
      <c r="AA100" s="285">
        <v>4915</v>
      </c>
      <c r="AB100" s="295">
        <v>520490.11323838908</v>
      </c>
    </row>
    <row r="101" spans="1:28" ht="15.75" customHeight="1">
      <c r="A101" s="124" t="s">
        <v>149</v>
      </c>
      <c r="B101" s="17" t="s">
        <v>155</v>
      </c>
      <c r="C101" s="274">
        <v>321</v>
      </c>
      <c r="D101" s="275">
        <v>23</v>
      </c>
      <c r="E101" s="275">
        <v>1697</v>
      </c>
      <c r="F101" s="275">
        <v>187</v>
      </c>
      <c r="G101" s="275">
        <v>13579</v>
      </c>
      <c r="H101" s="275">
        <v>24358</v>
      </c>
      <c r="I101" s="275">
        <v>49567</v>
      </c>
      <c r="J101" s="275">
        <v>118263</v>
      </c>
      <c r="K101" s="275">
        <v>128082</v>
      </c>
      <c r="L101" s="275">
        <v>48891</v>
      </c>
      <c r="M101" s="275">
        <v>109422</v>
      </c>
      <c r="N101" s="275">
        <v>89270</v>
      </c>
      <c r="O101" s="275">
        <v>126308</v>
      </c>
      <c r="P101" s="275">
        <v>141767</v>
      </c>
      <c r="Q101" s="275">
        <v>175741</v>
      </c>
      <c r="R101" s="275">
        <v>38899</v>
      </c>
      <c r="S101" s="275">
        <v>92556</v>
      </c>
      <c r="T101" s="275">
        <v>59789</v>
      </c>
      <c r="U101" s="275">
        <v>1218720</v>
      </c>
      <c r="V101" s="276">
        <v>1235</v>
      </c>
      <c r="W101" s="277">
        <v>1219955</v>
      </c>
      <c r="X101" s="275">
        <v>2041</v>
      </c>
      <c r="Y101" s="275">
        <v>63333</v>
      </c>
      <c r="Z101" s="276">
        <v>1153346</v>
      </c>
      <c r="AA101" s="285">
        <v>7111</v>
      </c>
      <c r="AB101" s="295">
        <v>1246677.4670285857</v>
      </c>
    </row>
    <row r="102" spans="1:28" ht="15.75" customHeight="1">
      <c r="A102" s="124" t="s">
        <v>150</v>
      </c>
      <c r="B102" s="17" t="s">
        <v>156</v>
      </c>
      <c r="C102" s="274">
        <v>8703</v>
      </c>
      <c r="D102" s="275">
        <v>37</v>
      </c>
      <c r="E102" s="275">
        <v>516</v>
      </c>
      <c r="F102" s="275">
        <v>118</v>
      </c>
      <c r="G102" s="275">
        <v>10598</v>
      </c>
      <c r="H102" s="275">
        <v>5575</v>
      </c>
      <c r="I102" s="275">
        <v>12617</v>
      </c>
      <c r="J102" s="275">
        <v>17199</v>
      </c>
      <c r="K102" s="275">
        <v>7510</v>
      </c>
      <c r="L102" s="275">
        <v>6352</v>
      </c>
      <c r="M102" s="275">
        <v>1804</v>
      </c>
      <c r="N102" s="275">
        <v>2361</v>
      </c>
      <c r="O102" s="275">
        <v>14771</v>
      </c>
      <c r="P102" s="275">
        <v>9813</v>
      </c>
      <c r="Q102" s="275">
        <v>18719</v>
      </c>
      <c r="R102" s="275">
        <v>10599</v>
      </c>
      <c r="S102" s="275">
        <v>17899</v>
      </c>
      <c r="T102" s="275">
        <v>6543</v>
      </c>
      <c r="U102" s="275">
        <v>151734</v>
      </c>
      <c r="V102" s="276">
        <v>154</v>
      </c>
      <c r="W102" s="277">
        <v>151888</v>
      </c>
      <c r="X102" s="275">
        <v>9256</v>
      </c>
      <c r="Y102" s="275">
        <v>23333</v>
      </c>
      <c r="Z102" s="276">
        <v>119145</v>
      </c>
      <c r="AA102" s="285">
        <v>5440</v>
      </c>
      <c r="AB102" s="295">
        <v>156905.5941897021</v>
      </c>
    </row>
    <row r="103" spans="1:28" ht="15.75" customHeight="1">
      <c r="A103" s="125" t="s">
        <v>151</v>
      </c>
      <c r="B103" s="117" t="s">
        <v>157</v>
      </c>
      <c r="C103" s="278">
        <v>6150</v>
      </c>
      <c r="D103" s="279">
        <v>26</v>
      </c>
      <c r="E103" s="279">
        <v>631</v>
      </c>
      <c r="F103" s="279">
        <v>226</v>
      </c>
      <c r="G103" s="279">
        <v>6125</v>
      </c>
      <c r="H103" s="279">
        <v>5889</v>
      </c>
      <c r="I103" s="279">
        <v>11574</v>
      </c>
      <c r="J103" s="279">
        <v>12056</v>
      </c>
      <c r="K103" s="279">
        <v>12506</v>
      </c>
      <c r="L103" s="279">
        <v>12706</v>
      </c>
      <c r="M103" s="279">
        <v>1219</v>
      </c>
      <c r="N103" s="279">
        <v>2583</v>
      </c>
      <c r="O103" s="279">
        <v>17409</v>
      </c>
      <c r="P103" s="279">
        <v>15252</v>
      </c>
      <c r="Q103" s="279">
        <v>17670</v>
      </c>
      <c r="R103" s="279">
        <v>11174</v>
      </c>
      <c r="S103" s="279">
        <v>13829</v>
      </c>
      <c r="T103" s="279">
        <v>8876</v>
      </c>
      <c r="U103" s="279">
        <v>155901</v>
      </c>
      <c r="V103" s="280">
        <v>159</v>
      </c>
      <c r="W103" s="281">
        <v>156060</v>
      </c>
      <c r="X103" s="279">
        <v>6807</v>
      </c>
      <c r="Y103" s="279">
        <v>17925</v>
      </c>
      <c r="Z103" s="280">
        <v>131169</v>
      </c>
      <c r="AA103" s="286">
        <v>5335</v>
      </c>
      <c r="AB103" s="296">
        <v>162136.64952065522</v>
      </c>
    </row>
    <row r="104" spans="1:28" ht="15.75" customHeight="1">
      <c r="B104" s="25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6" spans="1:28" ht="13.5" customHeight="1">
      <c r="A106" s="56">
        <f>A54+1</f>
        <v>25</v>
      </c>
      <c r="B106" s="51" t="str">
        <f>IF(A106&lt;22,"令和"&amp;A106&amp;"年度","平成"&amp;A106&amp;"年度")</f>
        <v>平成25年度</v>
      </c>
      <c r="C106" s="4" t="s">
        <v>75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1"/>
      <c r="Y106" s="2"/>
      <c r="Z106" s="58"/>
      <c r="AA106" s="58"/>
      <c r="AB106" s="58"/>
    </row>
    <row r="107" spans="1:28" ht="45" customHeight="1">
      <c r="A107" s="198"/>
      <c r="B107" s="88"/>
      <c r="C107" s="89" t="s">
        <v>51</v>
      </c>
      <c r="D107" s="89" t="s">
        <v>52</v>
      </c>
      <c r="E107" s="89" t="s">
        <v>53</v>
      </c>
      <c r="F107" s="89" t="s">
        <v>54</v>
      </c>
      <c r="G107" s="89" t="s">
        <v>55</v>
      </c>
      <c r="H107" s="89" t="s">
        <v>56</v>
      </c>
      <c r="I107" s="89" t="s">
        <v>57</v>
      </c>
      <c r="J107" s="89" t="s">
        <v>58</v>
      </c>
      <c r="K107" s="89" t="s">
        <v>59</v>
      </c>
      <c r="L107" s="89" t="s">
        <v>60</v>
      </c>
      <c r="M107" s="89" t="s">
        <v>61</v>
      </c>
      <c r="N107" s="89" t="s">
        <v>62</v>
      </c>
      <c r="O107" s="89" t="s">
        <v>63</v>
      </c>
      <c r="P107" s="89" t="s">
        <v>64</v>
      </c>
      <c r="Q107" s="89" t="s">
        <v>65</v>
      </c>
      <c r="R107" s="89" t="s">
        <v>66</v>
      </c>
      <c r="S107" s="89" t="s">
        <v>67</v>
      </c>
      <c r="T107" s="89" t="s">
        <v>68</v>
      </c>
      <c r="U107" s="89" t="s">
        <v>70</v>
      </c>
      <c r="V107" s="90" t="s">
        <v>69</v>
      </c>
      <c r="W107" s="91" t="s">
        <v>71</v>
      </c>
      <c r="X107" s="89" t="s">
        <v>72</v>
      </c>
      <c r="Y107" s="89" t="s">
        <v>73</v>
      </c>
      <c r="Z107" s="89" t="s">
        <v>74</v>
      </c>
      <c r="AA107" s="282" t="s">
        <v>277</v>
      </c>
      <c r="AB107" s="292" t="s">
        <v>278</v>
      </c>
    </row>
    <row r="108" spans="1:28" ht="13.5" customHeight="1">
      <c r="A108" s="165" t="s">
        <v>160</v>
      </c>
      <c r="B108" s="22" t="s">
        <v>0</v>
      </c>
      <c r="C108" s="266">
        <v>47093</v>
      </c>
      <c r="D108" s="267">
        <v>319</v>
      </c>
      <c r="E108" s="267">
        <v>8068</v>
      </c>
      <c r="F108" s="267">
        <v>3888</v>
      </c>
      <c r="G108" s="267">
        <v>172069</v>
      </c>
      <c r="H108" s="267">
        <v>147145</v>
      </c>
      <c r="I108" s="267">
        <v>302805</v>
      </c>
      <c r="J108" s="267">
        <v>414289</v>
      </c>
      <c r="K108" s="267">
        <v>250788</v>
      </c>
      <c r="L108" s="267">
        <v>159994</v>
      </c>
      <c r="M108" s="267">
        <v>192395</v>
      </c>
      <c r="N108" s="267">
        <v>144380</v>
      </c>
      <c r="O108" s="267">
        <v>461131</v>
      </c>
      <c r="P108" s="267">
        <v>350320</v>
      </c>
      <c r="Q108" s="267">
        <v>361683</v>
      </c>
      <c r="R108" s="267">
        <v>212193</v>
      </c>
      <c r="S108" s="267">
        <v>444349</v>
      </c>
      <c r="T108" s="267">
        <v>218596</v>
      </c>
      <c r="U108" s="267">
        <v>3891505</v>
      </c>
      <c r="V108" s="268">
        <v>2084</v>
      </c>
      <c r="W108" s="269">
        <v>3893589</v>
      </c>
      <c r="X108" s="267">
        <v>55480</v>
      </c>
      <c r="Y108" s="267">
        <v>478762</v>
      </c>
      <c r="Z108" s="268">
        <v>3357263</v>
      </c>
      <c r="AA108" s="283">
        <v>5923</v>
      </c>
      <c r="AB108" s="293">
        <v>4038793</v>
      </c>
    </row>
    <row r="109" spans="1:28" ht="13.5" customHeight="1">
      <c r="A109" s="16" t="s">
        <v>1</v>
      </c>
      <c r="B109" s="17" t="s">
        <v>2</v>
      </c>
      <c r="C109" s="270">
        <v>284</v>
      </c>
      <c r="D109" s="271">
        <v>27</v>
      </c>
      <c r="E109" s="271">
        <v>1727</v>
      </c>
      <c r="F109" s="271">
        <v>238</v>
      </c>
      <c r="G109" s="271">
        <v>13771</v>
      </c>
      <c r="H109" s="271">
        <v>23313</v>
      </c>
      <c r="I109" s="271">
        <v>53277</v>
      </c>
      <c r="J109" s="271">
        <v>122216</v>
      </c>
      <c r="K109" s="271">
        <v>140846</v>
      </c>
      <c r="L109" s="271">
        <v>49937</v>
      </c>
      <c r="M109" s="271">
        <v>107258</v>
      </c>
      <c r="N109" s="271">
        <v>92518</v>
      </c>
      <c r="O109" s="271">
        <v>127855</v>
      </c>
      <c r="P109" s="271">
        <v>148077</v>
      </c>
      <c r="Q109" s="271">
        <v>171255</v>
      </c>
      <c r="R109" s="271">
        <v>37462</v>
      </c>
      <c r="S109" s="271">
        <v>95814</v>
      </c>
      <c r="T109" s="271">
        <v>58370</v>
      </c>
      <c r="U109" s="271">
        <v>1244245</v>
      </c>
      <c r="V109" s="272">
        <v>669</v>
      </c>
      <c r="W109" s="273">
        <v>1244914</v>
      </c>
      <c r="X109" s="271">
        <v>2038</v>
      </c>
      <c r="Y109" s="271">
        <v>67286</v>
      </c>
      <c r="Z109" s="272">
        <v>1174921</v>
      </c>
      <c r="AA109" s="284">
        <v>7225</v>
      </c>
      <c r="AB109" s="294">
        <v>1283164.1165247303</v>
      </c>
    </row>
    <row r="110" spans="1:28" ht="13.5" customHeight="1">
      <c r="A110" s="18" t="s">
        <v>3</v>
      </c>
      <c r="B110" s="19" t="s">
        <v>4</v>
      </c>
      <c r="C110" s="274">
        <v>104</v>
      </c>
      <c r="D110" s="275">
        <v>0</v>
      </c>
      <c r="E110" s="275">
        <v>163</v>
      </c>
      <c r="F110" s="275">
        <v>387</v>
      </c>
      <c r="G110" s="275">
        <v>2632</v>
      </c>
      <c r="H110" s="275">
        <v>5769</v>
      </c>
      <c r="I110" s="275">
        <v>17965</v>
      </c>
      <c r="J110" s="275">
        <v>24243</v>
      </c>
      <c r="K110" s="275">
        <v>5060</v>
      </c>
      <c r="L110" s="275">
        <v>7714</v>
      </c>
      <c r="M110" s="275">
        <v>10271</v>
      </c>
      <c r="N110" s="275">
        <v>4449</v>
      </c>
      <c r="O110" s="275">
        <v>31623</v>
      </c>
      <c r="P110" s="275">
        <v>17630</v>
      </c>
      <c r="Q110" s="275">
        <v>9160</v>
      </c>
      <c r="R110" s="275">
        <v>11503</v>
      </c>
      <c r="S110" s="275">
        <v>19061</v>
      </c>
      <c r="T110" s="275">
        <v>13664</v>
      </c>
      <c r="U110" s="275">
        <v>181398</v>
      </c>
      <c r="V110" s="276">
        <v>97</v>
      </c>
      <c r="W110" s="277">
        <v>181495</v>
      </c>
      <c r="X110" s="275">
        <v>267</v>
      </c>
      <c r="Y110" s="275">
        <v>20984</v>
      </c>
      <c r="Z110" s="276">
        <v>160147</v>
      </c>
      <c r="AA110" s="285">
        <v>5409</v>
      </c>
      <c r="AB110" s="295">
        <v>186329.09333576317</v>
      </c>
    </row>
    <row r="111" spans="1:28" ht="13.5" customHeight="1">
      <c r="A111" s="18" t="s">
        <v>5</v>
      </c>
      <c r="B111" s="19" t="s">
        <v>6</v>
      </c>
      <c r="C111" s="274">
        <v>4875</v>
      </c>
      <c r="D111" s="275">
        <v>23</v>
      </c>
      <c r="E111" s="275">
        <v>464</v>
      </c>
      <c r="F111" s="275">
        <v>229</v>
      </c>
      <c r="G111" s="275">
        <v>5924</v>
      </c>
      <c r="H111" s="275">
        <v>5480</v>
      </c>
      <c r="I111" s="275">
        <v>11265</v>
      </c>
      <c r="J111" s="275">
        <v>12145</v>
      </c>
      <c r="K111" s="275">
        <v>14447</v>
      </c>
      <c r="L111" s="275">
        <v>10935</v>
      </c>
      <c r="M111" s="275">
        <v>1422</v>
      </c>
      <c r="N111" s="275">
        <v>2551</v>
      </c>
      <c r="O111" s="275">
        <v>15843</v>
      </c>
      <c r="P111" s="275">
        <v>14593</v>
      </c>
      <c r="Q111" s="275">
        <v>17165</v>
      </c>
      <c r="R111" s="275">
        <v>8555</v>
      </c>
      <c r="S111" s="275">
        <v>12295</v>
      </c>
      <c r="T111" s="275">
        <v>6536</v>
      </c>
      <c r="U111" s="275">
        <v>144747</v>
      </c>
      <c r="V111" s="276">
        <v>77</v>
      </c>
      <c r="W111" s="277">
        <v>144824</v>
      </c>
      <c r="X111" s="275">
        <v>5362</v>
      </c>
      <c r="Y111" s="275">
        <v>17418</v>
      </c>
      <c r="Z111" s="276">
        <v>121967</v>
      </c>
      <c r="AA111" s="285">
        <v>5643</v>
      </c>
      <c r="AB111" s="295">
        <v>151235.08701294559</v>
      </c>
    </row>
    <row r="112" spans="1:28" ht="13.5" customHeight="1">
      <c r="A112" s="18" t="s">
        <v>7</v>
      </c>
      <c r="B112" s="19" t="s">
        <v>8</v>
      </c>
      <c r="C112" s="274">
        <v>35</v>
      </c>
      <c r="D112" s="275">
        <v>2</v>
      </c>
      <c r="E112" s="275">
        <v>180</v>
      </c>
      <c r="F112" s="275">
        <v>136</v>
      </c>
      <c r="G112" s="275">
        <v>22395</v>
      </c>
      <c r="H112" s="275">
        <v>20805</v>
      </c>
      <c r="I112" s="275">
        <v>18383</v>
      </c>
      <c r="J112" s="275">
        <v>80130</v>
      </c>
      <c r="K112" s="275">
        <v>17562</v>
      </c>
      <c r="L112" s="275">
        <v>7374</v>
      </c>
      <c r="M112" s="275">
        <v>40884</v>
      </c>
      <c r="N112" s="275">
        <v>9546</v>
      </c>
      <c r="O112" s="275">
        <v>35051</v>
      </c>
      <c r="P112" s="275">
        <v>40024</v>
      </c>
      <c r="Q112" s="275">
        <v>12968</v>
      </c>
      <c r="R112" s="275">
        <v>16510</v>
      </c>
      <c r="S112" s="275">
        <v>37260</v>
      </c>
      <c r="T112" s="275">
        <v>16244</v>
      </c>
      <c r="U112" s="275">
        <v>375489</v>
      </c>
      <c r="V112" s="276">
        <v>202</v>
      </c>
      <c r="W112" s="277">
        <v>375691</v>
      </c>
      <c r="X112" s="275">
        <v>217</v>
      </c>
      <c r="Y112" s="275">
        <v>40914</v>
      </c>
      <c r="Z112" s="276">
        <v>334358</v>
      </c>
      <c r="AA112" s="285">
        <v>6798</v>
      </c>
      <c r="AB112" s="295">
        <v>387132.65629926469</v>
      </c>
    </row>
    <row r="113" spans="1:28" ht="13.5" customHeight="1">
      <c r="A113" s="16" t="s">
        <v>9</v>
      </c>
      <c r="B113" s="17" t="s">
        <v>10</v>
      </c>
      <c r="C113" s="274">
        <v>2981</v>
      </c>
      <c r="D113" s="275">
        <v>77</v>
      </c>
      <c r="E113" s="275">
        <v>249</v>
      </c>
      <c r="F113" s="275">
        <v>700</v>
      </c>
      <c r="G113" s="275">
        <v>16658</v>
      </c>
      <c r="H113" s="275">
        <v>5258</v>
      </c>
      <c r="I113" s="275">
        <v>12445</v>
      </c>
      <c r="J113" s="275">
        <v>15824</v>
      </c>
      <c r="K113" s="275">
        <v>4548</v>
      </c>
      <c r="L113" s="275">
        <v>9120</v>
      </c>
      <c r="M113" s="275">
        <v>2138</v>
      </c>
      <c r="N113" s="275">
        <v>4488</v>
      </c>
      <c r="O113" s="275">
        <v>17776</v>
      </c>
      <c r="P113" s="275">
        <v>12664</v>
      </c>
      <c r="Q113" s="275">
        <v>12972</v>
      </c>
      <c r="R113" s="275">
        <v>13200</v>
      </c>
      <c r="S113" s="275">
        <v>30609</v>
      </c>
      <c r="T113" s="275">
        <v>8649</v>
      </c>
      <c r="U113" s="275">
        <v>170356</v>
      </c>
      <c r="V113" s="276">
        <v>91</v>
      </c>
      <c r="W113" s="277">
        <v>170447</v>
      </c>
      <c r="X113" s="275">
        <v>3307</v>
      </c>
      <c r="Y113" s="275">
        <v>29803</v>
      </c>
      <c r="Z113" s="276">
        <v>137246</v>
      </c>
      <c r="AA113" s="285">
        <v>5445</v>
      </c>
      <c r="AB113" s="295">
        <v>175361.98697250331</v>
      </c>
    </row>
    <row r="114" spans="1:28" ht="13.5" customHeight="1">
      <c r="A114" s="18" t="s">
        <v>11</v>
      </c>
      <c r="B114" s="19" t="s">
        <v>12</v>
      </c>
      <c r="C114" s="274">
        <v>3224</v>
      </c>
      <c r="D114" s="275">
        <v>2</v>
      </c>
      <c r="E114" s="275">
        <v>312</v>
      </c>
      <c r="F114" s="275">
        <v>442</v>
      </c>
      <c r="G114" s="275">
        <v>20009</v>
      </c>
      <c r="H114" s="275">
        <v>3183</v>
      </c>
      <c r="I114" s="275">
        <v>10427</v>
      </c>
      <c r="J114" s="275">
        <v>11328</v>
      </c>
      <c r="K114" s="275">
        <v>5282</v>
      </c>
      <c r="L114" s="275">
        <v>4181</v>
      </c>
      <c r="M114" s="275">
        <v>516</v>
      </c>
      <c r="N114" s="275">
        <v>1622</v>
      </c>
      <c r="O114" s="275">
        <v>15450</v>
      </c>
      <c r="P114" s="275">
        <v>4534</v>
      </c>
      <c r="Q114" s="275">
        <v>7922</v>
      </c>
      <c r="R114" s="275">
        <v>7669</v>
      </c>
      <c r="S114" s="275">
        <v>19173</v>
      </c>
      <c r="T114" s="275">
        <v>8184</v>
      </c>
      <c r="U114" s="275">
        <v>123460</v>
      </c>
      <c r="V114" s="276">
        <v>66</v>
      </c>
      <c r="W114" s="277">
        <v>123526</v>
      </c>
      <c r="X114" s="275">
        <v>3538</v>
      </c>
      <c r="Y114" s="275">
        <v>30878</v>
      </c>
      <c r="Z114" s="276">
        <v>89044</v>
      </c>
      <c r="AA114" s="285">
        <v>4666</v>
      </c>
      <c r="AB114" s="295">
        <v>127244.78290299846</v>
      </c>
    </row>
    <row r="115" spans="1:28" ht="13.5" customHeight="1">
      <c r="A115" s="18" t="s">
        <v>13</v>
      </c>
      <c r="B115" s="19" t="s">
        <v>14</v>
      </c>
      <c r="C115" s="274">
        <v>1230</v>
      </c>
      <c r="D115" s="275">
        <v>2</v>
      </c>
      <c r="E115" s="275">
        <v>242</v>
      </c>
      <c r="F115" s="275">
        <v>114</v>
      </c>
      <c r="G115" s="275">
        <v>11694</v>
      </c>
      <c r="H115" s="275">
        <v>7508</v>
      </c>
      <c r="I115" s="275">
        <v>21199</v>
      </c>
      <c r="J115" s="275">
        <v>23915</v>
      </c>
      <c r="K115" s="275">
        <v>8290</v>
      </c>
      <c r="L115" s="275">
        <v>13063</v>
      </c>
      <c r="M115" s="275">
        <v>3317</v>
      </c>
      <c r="N115" s="275">
        <v>9765</v>
      </c>
      <c r="O115" s="275">
        <v>43426</v>
      </c>
      <c r="P115" s="275">
        <v>27556</v>
      </c>
      <c r="Q115" s="275">
        <v>24228</v>
      </c>
      <c r="R115" s="275">
        <v>19246</v>
      </c>
      <c r="S115" s="275">
        <v>50369</v>
      </c>
      <c r="T115" s="275">
        <v>19779</v>
      </c>
      <c r="U115" s="275">
        <v>284943</v>
      </c>
      <c r="V115" s="276">
        <v>153</v>
      </c>
      <c r="W115" s="277">
        <v>285096</v>
      </c>
      <c r="X115" s="275">
        <v>1474</v>
      </c>
      <c r="Y115" s="275">
        <v>33007</v>
      </c>
      <c r="Z115" s="276">
        <v>250462</v>
      </c>
      <c r="AA115" s="285">
        <v>5506</v>
      </c>
      <c r="AB115" s="295">
        <v>292410.91509247333</v>
      </c>
    </row>
    <row r="116" spans="1:28" ht="13.5" customHeight="1">
      <c r="A116" s="18" t="s">
        <v>15</v>
      </c>
      <c r="B116" s="19" t="s">
        <v>45</v>
      </c>
      <c r="C116" s="274">
        <v>1214</v>
      </c>
      <c r="D116" s="275">
        <v>3</v>
      </c>
      <c r="E116" s="275">
        <v>289</v>
      </c>
      <c r="F116" s="275">
        <v>68</v>
      </c>
      <c r="G116" s="275">
        <v>6718</v>
      </c>
      <c r="H116" s="275">
        <v>2876</v>
      </c>
      <c r="I116" s="275">
        <v>15119</v>
      </c>
      <c r="J116" s="275">
        <v>15764</v>
      </c>
      <c r="K116" s="275">
        <v>9180</v>
      </c>
      <c r="L116" s="275">
        <v>3076</v>
      </c>
      <c r="M116" s="275">
        <v>3597</v>
      </c>
      <c r="N116" s="275">
        <v>1566</v>
      </c>
      <c r="O116" s="275">
        <v>17338</v>
      </c>
      <c r="P116" s="275">
        <v>18957</v>
      </c>
      <c r="Q116" s="275">
        <v>5851</v>
      </c>
      <c r="R116" s="275">
        <v>6432</v>
      </c>
      <c r="S116" s="275">
        <v>22914</v>
      </c>
      <c r="T116" s="275">
        <v>6321</v>
      </c>
      <c r="U116" s="275">
        <v>137283</v>
      </c>
      <c r="V116" s="276">
        <v>73</v>
      </c>
      <c r="W116" s="277">
        <v>137356</v>
      </c>
      <c r="X116" s="275">
        <v>1506</v>
      </c>
      <c r="Y116" s="275">
        <v>21905</v>
      </c>
      <c r="Z116" s="276">
        <v>113872</v>
      </c>
      <c r="AA116" s="285">
        <v>6162</v>
      </c>
      <c r="AB116" s="295">
        <v>141961.89936334323</v>
      </c>
    </row>
    <row r="117" spans="1:28" ht="13.5" customHeight="1">
      <c r="A117" s="18" t="s">
        <v>16</v>
      </c>
      <c r="B117" s="19" t="s">
        <v>46</v>
      </c>
      <c r="C117" s="274">
        <v>2499</v>
      </c>
      <c r="D117" s="275">
        <v>1</v>
      </c>
      <c r="E117" s="275">
        <v>521</v>
      </c>
      <c r="F117" s="275">
        <v>198</v>
      </c>
      <c r="G117" s="275">
        <v>18456</v>
      </c>
      <c r="H117" s="275">
        <v>22459</v>
      </c>
      <c r="I117" s="275">
        <v>22859</v>
      </c>
      <c r="J117" s="275">
        <v>22772</v>
      </c>
      <c r="K117" s="275">
        <v>10216</v>
      </c>
      <c r="L117" s="275">
        <v>6585</v>
      </c>
      <c r="M117" s="275">
        <v>12236</v>
      </c>
      <c r="N117" s="275">
        <v>4355</v>
      </c>
      <c r="O117" s="275">
        <v>35608</v>
      </c>
      <c r="P117" s="275">
        <v>18125</v>
      </c>
      <c r="Q117" s="275">
        <v>18126</v>
      </c>
      <c r="R117" s="275">
        <v>13513</v>
      </c>
      <c r="S117" s="275">
        <v>29130</v>
      </c>
      <c r="T117" s="275">
        <v>15657</v>
      </c>
      <c r="U117" s="275">
        <v>253316</v>
      </c>
      <c r="V117" s="276">
        <v>136</v>
      </c>
      <c r="W117" s="277">
        <v>253452</v>
      </c>
      <c r="X117" s="275">
        <v>3021</v>
      </c>
      <c r="Y117" s="275">
        <v>41513</v>
      </c>
      <c r="Z117" s="276">
        <v>208782</v>
      </c>
      <c r="AA117" s="285">
        <v>5979</v>
      </c>
      <c r="AB117" s="295">
        <v>264835.72693581117</v>
      </c>
    </row>
    <row r="118" spans="1:28" ht="13.5" customHeight="1">
      <c r="A118" s="18">
        <v>10</v>
      </c>
      <c r="B118" s="19" t="s">
        <v>47</v>
      </c>
      <c r="C118" s="274">
        <v>7503</v>
      </c>
      <c r="D118" s="275">
        <v>40</v>
      </c>
      <c r="E118" s="275">
        <v>496</v>
      </c>
      <c r="F118" s="275">
        <v>152</v>
      </c>
      <c r="G118" s="275">
        <v>10228</v>
      </c>
      <c r="H118" s="275">
        <v>5654</v>
      </c>
      <c r="I118" s="275">
        <v>16420</v>
      </c>
      <c r="J118" s="275">
        <v>18543</v>
      </c>
      <c r="K118" s="275">
        <v>7256</v>
      </c>
      <c r="L118" s="275">
        <v>6701</v>
      </c>
      <c r="M118" s="275">
        <v>2012</v>
      </c>
      <c r="N118" s="275">
        <v>2370</v>
      </c>
      <c r="O118" s="275">
        <v>14453</v>
      </c>
      <c r="P118" s="275">
        <v>10153</v>
      </c>
      <c r="Q118" s="275">
        <v>17154</v>
      </c>
      <c r="R118" s="275">
        <v>10077</v>
      </c>
      <c r="S118" s="275">
        <v>18533</v>
      </c>
      <c r="T118" s="275">
        <v>6191</v>
      </c>
      <c r="U118" s="275">
        <v>153936</v>
      </c>
      <c r="V118" s="276">
        <v>82</v>
      </c>
      <c r="W118" s="277">
        <v>154018</v>
      </c>
      <c r="X118" s="275">
        <v>8039</v>
      </c>
      <c r="Y118" s="275">
        <v>26800</v>
      </c>
      <c r="Z118" s="276">
        <v>119097</v>
      </c>
      <c r="AA118" s="285">
        <v>5652</v>
      </c>
      <c r="AB118" s="295">
        <v>159980.35244716934</v>
      </c>
    </row>
    <row r="119" spans="1:28" ht="13.5" customHeight="1">
      <c r="A119" s="20">
        <v>11</v>
      </c>
      <c r="B119" s="21" t="s">
        <v>48</v>
      </c>
      <c r="C119" s="278">
        <v>2927</v>
      </c>
      <c r="D119" s="279">
        <v>1</v>
      </c>
      <c r="E119" s="279">
        <v>511</v>
      </c>
      <c r="F119" s="279">
        <v>84</v>
      </c>
      <c r="G119" s="279">
        <v>6870</v>
      </c>
      <c r="H119" s="279">
        <v>1982</v>
      </c>
      <c r="I119" s="279">
        <v>8318</v>
      </c>
      <c r="J119" s="279">
        <v>4192</v>
      </c>
      <c r="K119" s="279">
        <v>3351</v>
      </c>
      <c r="L119" s="279">
        <v>1349</v>
      </c>
      <c r="M119" s="279">
        <v>35</v>
      </c>
      <c r="N119" s="279">
        <v>463</v>
      </c>
      <c r="O119" s="279">
        <v>10461</v>
      </c>
      <c r="P119" s="279">
        <v>1679</v>
      </c>
      <c r="Q119" s="279">
        <v>8678</v>
      </c>
      <c r="R119" s="279">
        <v>3166</v>
      </c>
      <c r="S119" s="279">
        <v>7497</v>
      </c>
      <c r="T119" s="279">
        <v>4187</v>
      </c>
      <c r="U119" s="279">
        <v>65751</v>
      </c>
      <c r="V119" s="280">
        <v>35</v>
      </c>
      <c r="W119" s="281">
        <v>65786</v>
      </c>
      <c r="X119" s="279">
        <v>3439</v>
      </c>
      <c r="Y119" s="279">
        <v>15272</v>
      </c>
      <c r="Z119" s="280">
        <v>47040</v>
      </c>
      <c r="AA119" s="286">
        <v>4341</v>
      </c>
      <c r="AB119" s="296">
        <v>67968.787017762894</v>
      </c>
    </row>
    <row r="120" spans="1:28" ht="13.5" customHeight="1">
      <c r="A120" s="18">
        <v>12</v>
      </c>
      <c r="B120" s="19" t="s">
        <v>17</v>
      </c>
      <c r="C120" s="270">
        <v>1685</v>
      </c>
      <c r="D120" s="271">
        <v>78</v>
      </c>
      <c r="E120" s="271">
        <v>48</v>
      </c>
      <c r="F120" s="271">
        <v>102</v>
      </c>
      <c r="G120" s="271">
        <v>187</v>
      </c>
      <c r="H120" s="271">
        <v>362</v>
      </c>
      <c r="I120" s="271">
        <v>1251</v>
      </c>
      <c r="J120" s="271">
        <v>459</v>
      </c>
      <c r="K120" s="271">
        <v>319</v>
      </c>
      <c r="L120" s="271">
        <v>1244</v>
      </c>
      <c r="M120" s="271">
        <v>1</v>
      </c>
      <c r="N120" s="271">
        <v>152</v>
      </c>
      <c r="O120" s="271">
        <v>1124</v>
      </c>
      <c r="P120" s="271">
        <v>194</v>
      </c>
      <c r="Q120" s="271">
        <v>1467</v>
      </c>
      <c r="R120" s="271">
        <v>988</v>
      </c>
      <c r="S120" s="271">
        <v>853</v>
      </c>
      <c r="T120" s="271">
        <v>497</v>
      </c>
      <c r="U120" s="271">
        <v>11011</v>
      </c>
      <c r="V120" s="272">
        <v>6</v>
      </c>
      <c r="W120" s="273">
        <v>11017</v>
      </c>
      <c r="X120" s="271">
        <v>1811</v>
      </c>
      <c r="Y120" s="271">
        <v>1540</v>
      </c>
      <c r="Z120" s="272">
        <v>7660</v>
      </c>
      <c r="AA120" s="284">
        <v>3813</v>
      </c>
      <c r="AB120" s="294">
        <v>11494.954355312299</v>
      </c>
    </row>
    <row r="121" spans="1:28" ht="13.5" customHeight="1">
      <c r="A121" s="18">
        <v>13</v>
      </c>
      <c r="B121" s="19" t="s">
        <v>18</v>
      </c>
      <c r="C121" s="274">
        <v>1229</v>
      </c>
      <c r="D121" s="275">
        <v>8</v>
      </c>
      <c r="E121" s="275">
        <v>20</v>
      </c>
      <c r="F121" s="275">
        <v>0</v>
      </c>
      <c r="G121" s="275">
        <v>157</v>
      </c>
      <c r="H121" s="275">
        <v>193</v>
      </c>
      <c r="I121" s="275">
        <v>784</v>
      </c>
      <c r="J121" s="275">
        <v>181</v>
      </c>
      <c r="K121" s="275">
        <v>369</v>
      </c>
      <c r="L121" s="275">
        <v>68</v>
      </c>
      <c r="M121" s="275">
        <v>0</v>
      </c>
      <c r="N121" s="275">
        <v>4</v>
      </c>
      <c r="O121" s="275">
        <v>754</v>
      </c>
      <c r="P121" s="275">
        <v>190</v>
      </c>
      <c r="Q121" s="275">
        <v>815</v>
      </c>
      <c r="R121" s="275">
        <v>807</v>
      </c>
      <c r="S121" s="275">
        <v>825</v>
      </c>
      <c r="T121" s="275">
        <v>265</v>
      </c>
      <c r="U121" s="275">
        <v>6669</v>
      </c>
      <c r="V121" s="276">
        <v>3</v>
      </c>
      <c r="W121" s="277">
        <v>6672</v>
      </c>
      <c r="X121" s="275">
        <v>1257</v>
      </c>
      <c r="Y121" s="275">
        <v>941</v>
      </c>
      <c r="Z121" s="276">
        <v>4471</v>
      </c>
      <c r="AA121" s="285">
        <v>4005</v>
      </c>
      <c r="AB121" s="295">
        <v>7017.0609326651665</v>
      </c>
    </row>
    <row r="122" spans="1:28" ht="13.5" customHeight="1">
      <c r="A122" s="18">
        <v>14</v>
      </c>
      <c r="B122" s="19" t="s">
        <v>19</v>
      </c>
      <c r="C122" s="274">
        <v>878</v>
      </c>
      <c r="D122" s="275">
        <v>4</v>
      </c>
      <c r="E122" s="275">
        <v>25</v>
      </c>
      <c r="F122" s="275">
        <v>0</v>
      </c>
      <c r="G122" s="275">
        <v>323</v>
      </c>
      <c r="H122" s="275">
        <v>34</v>
      </c>
      <c r="I122" s="275">
        <v>1982</v>
      </c>
      <c r="J122" s="275">
        <v>101</v>
      </c>
      <c r="K122" s="275">
        <v>68</v>
      </c>
      <c r="L122" s="275">
        <v>140</v>
      </c>
      <c r="M122" s="275">
        <v>0</v>
      </c>
      <c r="N122" s="275">
        <v>10</v>
      </c>
      <c r="O122" s="275">
        <v>357</v>
      </c>
      <c r="P122" s="275">
        <v>917</v>
      </c>
      <c r="Q122" s="275">
        <v>671</v>
      </c>
      <c r="R122" s="275">
        <v>689</v>
      </c>
      <c r="S122" s="275">
        <v>220</v>
      </c>
      <c r="T122" s="275">
        <v>268</v>
      </c>
      <c r="U122" s="275">
        <v>6687</v>
      </c>
      <c r="V122" s="276">
        <v>3</v>
      </c>
      <c r="W122" s="277">
        <v>6690</v>
      </c>
      <c r="X122" s="275">
        <v>907</v>
      </c>
      <c r="Y122" s="275">
        <v>2305</v>
      </c>
      <c r="Z122" s="276">
        <v>3475</v>
      </c>
      <c r="AA122" s="285">
        <v>5386</v>
      </c>
      <c r="AB122" s="295">
        <v>7000.8195648427627</v>
      </c>
    </row>
    <row r="123" spans="1:28" ht="13.5" customHeight="1">
      <c r="A123" s="18">
        <v>15</v>
      </c>
      <c r="B123" s="19" t="s">
        <v>20</v>
      </c>
      <c r="C123" s="274">
        <v>1580</v>
      </c>
      <c r="D123" s="275">
        <v>8</v>
      </c>
      <c r="E123" s="275">
        <v>59</v>
      </c>
      <c r="F123" s="275">
        <v>0</v>
      </c>
      <c r="G123" s="275">
        <v>696</v>
      </c>
      <c r="H123" s="275">
        <v>328</v>
      </c>
      <c r="I123" s="275">
        <v>1966</v>
      </c>
      <c r="J123" s="275">
        <v>592</v>
      </c>
      <c r="K123" s="275">
        <v>442</v>
      </c>
      <c r="L123" s="275">
        <v>865</v>
      </c>
      <c r="M123" s="275">
        <v>37</v>
      </c>
      <c r="N123" s="275">
        <v>83</v>
      </c>
      <c r="O123" s="275">
        <v>1908</v>
      </c>
      <c r="P123" s="275">
        <v>659</v>
      </c>
      <c r="Q123" s="275">
        <v>1281</v>
      </c>
      <c r="R123" s="275">
        <v>1113</v>
      </c>
      <c r="S123" s="275">
        <v>1896</v>
      </c>
      <c r="T123" s="275">
        <v>1257</v>
      </c>
      <c r="U123" s="275">
        <v>14770</v>
      </c>
      <c r="V123" s="276">
        <v>8</v>
      </c>
      <c r="W123" s="277">
        <v>14778</v>
      </c>
      <c r="X123" s="275">
        <v>1647</v>
      </c>
      <c r="Y123" s="275">
        <v>2662</v>
      </c>
      <c r="Z123" s="276">
        <v>10461</v>
      </c>
      <c r="AA123" s="285">
        <v>3394</v>
      </c>
      <c r="AB123" s="295">
        <v>15344.179615086374</v>
      </c>
    </row>
    <row r="124" spans="1:28" ht="13.5" customHeight="1">
      <c r="A124" s="18">
        <v>16</v>
      </c>
      <c r="B124" s="19" t="s">
        <v>21</v>
      </c>
      <c r="C124" s="274">
        <v>1072</v>
      </c>
      <c r="D124" s="275">
        <v>2</v>
      </c>
      <c r="E124" s="275">
        <v>564</v>
      </c>
      <c r="F124" s="275">
        <v>501</v>
      </c>
      <c r="G124" s="275">
        <v>1516</v>
      </c>
      <c r="H124" s="275">
        <v>1040</v>
      </c>
      <c r="I124" s="275">
        <v>10445</v>
      </c>
      <c r="J124" s="275">
        <v>1693</v>
      </c>
      <c r="K124" s="275">
        <v>1112</v>
      </c>
      <c r="L124" s="275">
        <v>2766</v>
      </c>
      <c r="M124" s="275">
        <v>0</v>
      </c>
      <c r="N124" s="275">
        <v>498</v>
      </c>
      <c r="O124" s="275">
        <v>3551</v>
      </c>
      <c r="P124" s="275">
        <v>1608</v>
      </c>
      <c r="Q124" s="275">
        <v>2080</v>
      </c>
      <c r="R124" s="275">
        <v>1907</v>
      </c>
      <c r="S124" s="275">
        <v>4958</v>
      </c>
      <c r="T124" s="275">
        <v>5271</v>
      </c>
      <c r="U124" s="275">
        <v>40584</v>
      </c>
      <c r="V124" s="276">
        <v>22</v>
      </c>
      <c r="W124" s="277">
        <v>40606</v>
      </c>
      <c r="X124" s="275">
        <v>1638</v>
      </c>
      <c r="Y124" s="275">
        <v>12462</v>
      </c>
      <c r="Z124" s="276">
        <v>26484</v>
      </c>
      <c r="AA124" s="285">
        <v>5176</v>
      </c>
      <c r="AB124" s="295">
        <v>42190.687155405183</v>
      </c>
    </row>
    <row r="125" spans="1:28" ht="13.5" customHeight="1">
      <c r="A125" s="18">
        <v>17</v>
      </c>
      <c r="B125" s="19" t="s">
        <v>22</v>
      </c>
      <c r="C125" s="274">
        <v>715</v>
      </c>
      <c r="D125" s="275">
        <v>12</v>
      </c>
      <c r="E125" s="275">
        <v>238</v>
      </c>
      <c r="F125" s="275">
        <v>46</v>
      </c>
      <c r="G125" s="275">
        <v>627</v>
      </c>
      <c r="H125" s="275">
        <v>553</v>
      </c>
      <c r="I125" s="275">
        <v>6701</v>
      </c>
      <c r="J125" s="275">
        <v>1508</v>
      </c>
      <c r="K125" s="275">
        <v>904</v>
      </c>
      <c r="L125" s="275">
        <v>9862</v>
      </c>
      <c r="M125" s="275">
        <v>123</v>
      </c>
      <c r="N125" s="275">
        <v>128</v>
      </c>
      <c r="O125" s="275">
        <v>4313</v>
      </c>
      <c r="P125" s="275">
        <v>3747</v>
      </c>
      <c r="Q125" s="275">
        <v>3303</v>
      </c>
      <c r="R125" s="275">
        <v>5566</v>
      </c>
      <c r="S125" s="275">
        <v>1805</v>
      </c>
      <c r="T125" s="275">
        <v>4245</v>
      </c>
      <c r="U125" s="275">
        <v>44396</v>
      </c>
      <c r="V125" s="276">
        <v>24</v>
      </c>
      <c r="W125" s="277">
        <v>44420</v>
      </c>
      <c r="X125" s="275">
        <v>965</v>
      </c>
      <c r="Y125" s="275">
        <v>7374</v>
      </c>
      <c r="Z125" s="276">
        <v>36057</v>
      </c>
      <c r="AA125" s="285">
        <v>4779</v>
      </c>
      <c r="AB125" s="295">
        <v>46207.163397311211</v>
      </c>
    </row>
    <row r="126" spans="1:28" ht="13.5" customHeight="1">
      <c r="A126" s="18">
        <v>18</v>
      </c>
      <c r="B126" s="19" t="s">
        <v>23</v>
      </c>
      <c r="C126" s="274">
        <v>702</v>
      </c>
      <c r="D126" s="275">
        <v>1</v>
      </c>
      <c r="E126" s="275">
        <v>155</v>
      </c>
      <c r="F126" s="275">
        <v>15</v>
      </c>
      <c r="G126" s="275">
        <v>166</v>
      </c>
      <c r="H126" s="275">
        <v>446</v>
      </c>
      <c r="I126" s="275">
        <v>1181</v>
      </c>
      <c r="J126" s="275">
        <v>448</v>
      </c>
      <c r="K126" s="275">
        <v>1325</v>
      </c>
      <c r="L126" s="275">
        <v>305</v>
      </c>
      <c r="M126" s="275">
        <v>1466</v>
      </c>
      <c r="N126" s="275">
        <v>32</v>
      </c>
      <c r="O126" s="275">
        <v>1444</v>
      </c>
      <c r="P126" s="275">
        <v>1289</v>
      </c>
      <c r="Q126" s="275">
        <v>1412</v>
      </c>
      <c r="R126" s="275">
        <v>1122</v>
      </c>
      <c r="S126" s="275">
        <v>1978</v>
      </c>
      <c r="T126" s="275">
        <v>829</v>
      </c>
      <c r="U126" s="275">
        <v>14316</v>
      </c>
      <c r="V126" s="276">
        <v>8</v>
      </c>
      <c r="W126" s="277">
        <v>14324</v>
      </c>
      <c r="X126" s="275">
        <v>858</v>
      </c>
      <c r="Y126" s="275">
        <v>1362</v>
      </c>
      <c r="Z126" s="276">
        <v>12096</v>
      </c>
      <c r="AA126" s="285">
        <v>5207</v>
      </c>
      <c r="AB126" s="295">
        <v>14863.40512652765</v>
      </c>
    </row>
    <row r="127" spans="1:28" ht="13.5" customHeight="1">
      <c r="A127" s="18">
        <v>19</v>
      </c>
      <c r="B127" s="19" t="s">
        <v>24</v>
      </c>
      <c r="C127" s="274">
        <v>759</v>
      </c>
      <c r="D127" s="275">
        <v>0</v>
      </c>
      <c r="E127" s="275">
        <v>66</v>
      </c>
      <c r="F127" s="275">
        <v>15</v>
      </c>
      <c r="G127" s="275">
        <v>727</v>
      </c>
      <c r="H127" s="275">
        <v>10921</v>
      </c>
      <c r="I127" s="275">
        <v>3674</v>
      </c>
      <c r="J127" s="275">
        <v>1071</v>
      </c>
      <c r="K127" s="275">
        <v>1865</v>
      </c>
      <c r="L127" s="275">
        <v>1088</v>
      </c>
      <c r="M127" s="275">
        <v>247</v>
      </c>
      <c r="N127" s="275">
        <v>283</v>
      </c>
      <c r="O127" s="275">
        <v>3523</v>
      </c>
      <c r="P127" s="275">
        <v>463</v>
      </c>
      <c r="Q127" s="275">
        <v>2040</v>
      </c>
      <c r="R127" s="275">
        <v>1375</v>
      </c>
      <c r="S127" s="275">
        <v>4502</v>
      </c>
      <c r="T127" s="275">
        <v>1178</v>
      </c>
      <c r="U127" s="275">
        <v>33797</v>
      </c>
      <c r="V127" s="276">
        <v>18</v>
      </c>
      <c r="W127" s="277">
        <v>33815</v>
      </c>
      <c r="X127" s="275">
        <v>825</v>
      </c>
      <c r="Y127" s="275">
        <v>4416</v>
      </c>
      <c r="Z127" s="276">
        <v>28556</v>
      </c>
      <c r="AA127" s="285">
        <v>6176</v>
      </c>
      <c r="AB127" s="295">
        <v>37846.959445845605</v>
      </c>
    </row>
    <row r="128" spans="1:28" ht="13.5" customHeight="1">
      <c r="A128" s="20">
        <v>20</v>
      </c>
      <c r="B128" s="21" t="s">
        <v>25</v>
      </c>
      <c r="C128" s="278">
        <v>1718</v>
      </c>
      <c r="D128" s="279">
        <v>1</v>
      </c>
      <c r="E128" s="279">
        <v>133</v>
      </c>
      <c r="F128" s="279">
        <v>0</v>
      </c>
      <c r="G128" s="279">
        <v>571</v>
      </c>
      <c r="H128" s="279">
        <v>231</v>
      </c>
      <c r="I128" s="279">
        <v>1959</v>
      </c>
      <c r="J128" s="279">
        <v>658</v>
      </c>
      <c r="K128" s="279">
        <v>499</v>
      </c>
      <c r="L128" s="279">
        <v>540</v>
      </c>
      <c r="M128" s="279">
        <v>46</v>
      </c>
      <c r="N128" s="279">
        <v>24</v>
      </c>
      <c r="O128" s="279">
        <v>1144</v>
      </c>
      <c r="P128" s="279">
        <v>274</v>
      </c>
      <c r="Q128" s="279">
        <v>1179</v>
      </c>
      <c r="R128" s="279">
        <v>540</v>
      </c>
      <c r="S128" s="279">
        <v>755</v>
      </c>
      <c r="T128" s="279">
        <v>611</v>
      </c>
      <c r="U128" s="279">
        <v>10883</v>
      </c>
      <c r="V128" s="280">
        <v>6</v>
      </c>
      <c r="W128" s="281">
        <v>10889</v>
      </c>
      <c r="X128" s="279">
        <v>1852</v>
      </c>
      <c r="Y128" s="279">
        <v>2530</v>
      </c>
      <c r="Z128" s="280">
        <v>6501</v>
      </c>
      <c r="AA128" s="286">
        <v>3980</v>
      </c>
      <c r="AB128" s="296">
        <v>11401.390431303867</v>
      </c>
    </row>
    <row r="129" spans="1:28" ht="13.5" customHeight="1">
      <c r="A129" s="18">
        <v>21</v>
      </c>
      <c r="B129" s="19" t="s">
        <v>26</v>
      </c>
      <c r="C129" s="270">
        <v>917</v>
      </c>
      <c r="D129" s="271">
        <v>4</v>
      </c>
      <c r="E129" s="271">
        <v>73</v>
      </c>
      <c r="F129" s="271">
        <v>99</v>
      </c>
      <c r="G129" s="271">
        <v>4780</v>
      </c>
      <c r="H129" s="271">
        <v>1615</v>
      </c>
      <c r="I129" s="271">
        <v>6696</v>
      </c>
      <c r="J129" s="271">
        <v>3654</v>
      </c>
      <c r="K129" s="271">
        <v>822</v>
      </c>
      <c r="L129" s="271">
        <v>2593</v>
      </c>
      <c r="M129" s="271">
        <v>28</v>
      </c>
      <c r="N129" s="271">
        <v>640</v>
      </c>
      <c r="O129" s="271">
        <v>13047</v>
      </c>
      <c r="P129" s="271">
        <v>1850</v>
      </c>
      <c r="Q129" s="271">
        <v>3037</v>
      </c>
      <c r="R129" s="271">
        <v>3763</v>
      </c>
      <c r="S129" s="271">
        <v>5011</v>
      </c>
      <c r="T129" s="271">
        <v>5903</v>
      </c>
      <c r="U129" s="271">
        <v>54532</v>
      </c>
      <c r="V129" s="272">
        <v>29</v>
      </c>
      <c r="W129" s="273">
        <v>54561</v>
      </c>
      <c r="X129" s="271">
        <v>994</v>
      </c>
      <c r="Y129" s="271">
        <v>11575</v>
      </c>
      <c r="Z129" s="272">
        <v>41963</v>
      </c>
      <c r="AA129" s="284">
        <v>4521</v>
      </c>
      <c r="AB129" s="294">
        <v>55981.033678804226</v>
      </c>
    </row>
    <row r="130" spans="1:28" ht="13.5" customHeight="1">
      <c r="A130" s="18">
        <v>22</v>
      </c>
      <c r="B130" s="19" t="s">
        <v>27</v>
      </c>
      <c r="C130" s="274">
        <v>45</v>
      </c>
      <c r="D130" s="275">
        <v>0</v>
      </c>
      <c r="E130" s="275">
        <v>4</v>
      </c>
      <c r="F130" s="275">
        <v>6</v>
      </c>
      <c r="G130" s="275">
        <v>771</v>
      </c>
      <c r="H130" s="275">
        <v>757</v>
      </c>
      <c r="I130" s="275">
        <v>2215</v>
      </c>
      <c r="J130" s="275">
        <v>1655</v>
      </c>
      <c r="K130" s="275">
        <v>417</v>
      </c>
      <c r="L130" s="275">
        <v>1054</v>
      </c>
      <c r="M130" s="275">
        <v>842</v>
      </c>
      <c r="N130" s="275">
        <v>1195</v>
      </c>
      <c r="O130" s="275">
        <v>3941</v>
      </c>
      <c r="P130" s="275">
        <v>2790</v>
      </c>
      <c r="Q130" s="275">
        <v>9326</v>
      </c>
      <c r="R130" s="275">
        <v>1769</v>
      </c>
      <c r="S130" s="275">
        <v>3799</v>
      </c>
      <c r="T130" s="275">
        <v>1718</v>
      </c>
      <c r="U130" s="275">
        <v>32304</v>
      </c>
      <c r="V130" s="276">
        <v>17</v>
      </c>
      <c r="W130" s="277">
        <v>32321</v>
      </c>
      <c r="X130" s="275">
        <v>49</v>
      </c>
      <c r="Y130" s="275">
        <v>2992</v>
      </c>
      <c r="Z130" s="276">
        <v>29263</v>
      </c>
      <c r="AA130" s="285">
        <v>4180</v>
      </c>
      <c r="AB130" s="295">
        <v>33135.115387927304</v>
      </c>
    </row>
    <row r="131" spans="1:28" ht="13.5" customHeight="1">
      <c r="A131" s="18">
        <v>23</v>
      </c>
      <c r="B131" s="19" t="s">
        <v>28</v>
      </c>
      <c r="C131" s="274">
        <v>1</v>
      </c>
      <c r="D131" s="275">
        <v>1</v>
      </c>
      <c r="E131" s="275">
        <v>65</v>
      </c>
      <c r="F131" s="275">
        <v>9</v>
      </c>
      <c r="G131" s="275">
        <v>631</v>
      </c>
      <c r="H131" s="275">
        <v>2565</v>
      </c>
      <c r="I131" s="275">
        <v>13615</v>
      </c>
      <c r="J131" s="275">
        <v>8199</v>
      </c>
      <c r="K131" s="275">
        <v>832</v>
      </c>
      <c r="L131" s="275">
        <v>5119</v>
      </c>
      <c r="M131" s="275">
        <v>3231</v>
      </c>
      <c r="N131" s="275">
        <v>2294</v>
      </c>
      <c r="O131" s="275">
        <v>13889</v>
      </c>
      <c r="P131" s="275">
        <v>6246</v>
      </c>
      <c r="Q131" s="275">
        <v>2787</v>
      </c>
      <c r="R131" s="275">
        <v>2710</v>
      </c>
      <c r="S131" s="275">
        <v>5085</v>
      </c>
      <c r="T131" s="275">
        <v>6438</v>
      </c>
      <c r="U131" s="275">
        <v>73717</v>
      </c>
      <c r="V131" s="276">
        <v>39</v>
      </c>
      <c r="W131" s="277">
        <v>73756</v>
      </c>
      <c r="X131" s="275">
        <v>67</v>
      </c>
      <c r="Y131" s="275">
        <v>14255</v>
      </c>
      <c r="Z131" s="276">
        <v>59395</v>
      </c>
      <c r="AA131" s="285">
        <v>5574</v>
      </c>
      <c r="AB131" s="295">
        <v>75781.399285985157</v>
      </c>
    </row>
    <row r="132" spans="1:28" ht="13.5" customHeight="1">
      <c r="A132" s="18">
        <v>24</v>
      </c>
      <c r="B132" s="19" t="s">
        <v>29</v>
      </c>
      <c r="C132" s="274">
        <v>30</v>
      </c>
      <c r="D132" s="275">
        <v>0</v>
      </c>
      <c r="E132" s="275">
        <v>78</v>
      </c>
      <c r="F132" s="275">
        <v>6</v>
      </c>
      <c r="G132" s="275">
        <v>253</v>
      </c>
      <c r="H132" s="275">
        <v>576</v>
      </c>
      <c r="I132" s="275">
        <v>3116</v>
      </c>
      <c r="J132" s="275">
        <v>2514</v>
      </c>
      <c r="K132" s="275">
        <v>960</v>
      </c>
      <c r="L132" s="275">
        <v>1752</v>
      </c>
      <c r="M132" s="275">
        <v>570</v>
      </c>
      <c r="N132" s="275">
        <v>536</v>
      </c>
      <c r="O132" s="275">
        <v>5688</v>
      </c>
      <c r="P132" s="275">
        <v>1898</v>
      </c>
      <c r="Q132" s="275">
        <v>1408</v>
      </c>
      <c r="R132" s="275">
        <v>2733</v>
      </c>
      <c r="S132" s="275">
        <v>5898</v>
      </c>
      <c r="T132" s="275">
        <v>1681</v>
      </c>
      <c r="U132" s="275">
        <v>29697</v>
      </c>
      <c r="V132" s="276">
        <v>16</v>
      </c>
      <c r="W132" s="277">
        <v>29713</v>
      </c>
      <c r="X132" s="275">
        <v>108</v>
      </c>
      <c r="Y132" s="275">
        <v>3375</v>
      </c>
      <c r="Z132" s="276">
        <v>26214</v>
      </c>
      <c r="AA132" s="285">
        <v>4467</v>
      </c>
      <c r="AB132" s="295">
        <v>30454.925583840399</v>
      </c>
    </row>
    <row r="133" spans="1:28" ht="13.5" customHeight="1">
      <c r="A133" s="18">
        <v>25</v>
      </c>
      <c r="B133" s="19" t="s">
        <v>30</v>
      </c>
      <c r="C133" s="274">
        <v>295</v>
      </c>
      <c r="D133" s="275">
        <v>0</v>
      </c>
      <c r="E133" s="275">
        <v>13</v>
      </c>
      <c r="F133" s="275">
        <v>173</v>
      </c>
      <c r="G133" s="275">
        <v>3689</v>
      </c>
      <c r="H133" s="275">
        <v>13116</v>
      </c>
      <c r="I133" s="275">
        <v>3743</v>
      </c>
      <c r="J133" s="275">
        <v>3289</v>
      </c>
      <c r="K133" s="275">
        <v>1054</v>
      </c>
      <c r="L133" s="275">
        <v>586</v>
      </c>
      <c r="M133" s="275">
        <v>1065</v>
      </c>
      <c r="N133" s="275">
        <v>301</v>
      </c>
      <c r="O133" s="275">
        <v>6002</v>
      </c>
      <c r="P133" s="275">
        <v>1697</v>
      </c>
      <c r="Q133" s="275">
        <v>1396</v>
      </c>
      <c r="R133" s="275">
        <v>1473</v>
      </c>
      <c r="S133" s="275">
        <v>8286</v>
      </c>
      <c r="T133" s="275">
        <v>2939</v>
      </c>
      <c r="U133" s="275">
        <v>49117</v>
      </c>
      <c r="V133" s="276">
        <v>27</v>
      </c>
      <c r="W133" s="277">
        <v>49144</v>
      </c>
      <c r="X133" s="275">
        <v>308</v>
      </c>
      <c r="Y133" s="275">
        <v>7605</v>
      </c>
      <c r="Z133" s="276">
        <v>41204</v>
      </c>
      <c r="AA133" s="285">
        <v>6483</v>
      </c>
      <c r="AB133" s="295">
        <v>53810.913833247774</v>
      </c>
    </row>
    <row r="134" spans="1:28" ht="13.5" customHeight="1">
      <c r="A134" s="20">
        <v>26</v>
      </c>
      <c r="B134" s="21" t="s">
        <v>31</v>
      </c>
      <c r="C134" s="278">
        <v>196</v>
      </c>
      <c r="D134" s="279">
        <v>1</v>
      </c>
      <c r="E134" s="279">
        <v>60</v>
      </c>
      <c r="F134" s="279">
        <v>19</v>
      </c>
      <c r="G134" s="279">
        <v>8263</v>
      </c>
      <c r="H134" s="279">
        <v>3655</v>
      </c>
      <c r="I134" s="279">
        <v>4464</v>
      </c>
      <c r="J134" s="279">
        <v>13829</v>
      </c>
      <c r="K134" s="279">
        <v>4447</v>
      </c>
      <c r="L134" s="279">
        <v>1871</v>
      </c>
      <c r="M134" s="279">
        <v>398</v>
      </c>
      <c r="N134" s="279">
        <v>888</v>
      </c>
      <c r="O134" s="279">
        <v>9323</v>
      </c>
      <c r="P134" s="279">
        <v>3895</v>
      </c>
      <c r="Q134" s="279">
        <v>2437</v>
      </c>
      <c r="R134" s="279">
        <v>19281</v>
      </c>
      <c r="S134" s="279">
        <v>14825</v>
      </c>
      <c r="T134" s="279">
        <v>4732</v>
      </c>
      <c r="U134" s="279">
        <v>92584</v>
      </c>
      <c r="V134" s="280">
        <v>49</v>
      </c>
      <c r="W134" s="281">
        <v>92633</v>
      </c>
      <c r="X134" s="279">
        <v>257</v>
      </c>
      <c r="Y134" s="279">
        <v>12746</v>
      </c>
      <c r="Z134" s="280">
        <v>79581</v>
      </c>
      <c r="AA134" s="286">
        <v>4565</v>
      </c>
      <c r="AB134" s="296">
        <v>95488.04256842965</v>
      </c>
    </row>
    <row r="135" spans="1:28" ht="13.5" customHeight="1">
      <c r="A135" s="18">
        <v>27</v>
      </c>
      <c r="B135" s="19" t="s">
        <v>32</v>
      </c>
      <c r="C135" s="270">
        <v>215</v>
      </c>
      <c r="D135" s="271">
        <v>0</v>
      </c>
      <c r="E135" s="271">
        <v>135</v>
      </c>
      <c r="F135" s="271">
        <v>0</v>
      </c>
      <c r="G135" s="271">
        <v>624</v>
      </c>
      <c r="H135" s="271">
        <v>544</v>
      </c>
      <c r="I135" s="271">
        <v>3239</v>
      </c>
      <c r="J135" s="271">
        <v>4704</v>
      </c>
      <c r="K135" s="271">
        <v>705</v>
      </c>
      <c r="L135" s="271">
        <v>1251</v>
      </c>
      <c r="M135" s="271">
        <v>357</v>
      </c>
      <c r="N135" s="271">
        <v>1749</v>
      </c>
      <c r="O135" s="271">
        <v>5531</v>
      </c>
      <c r="P135" s="271">
        <v>1134</v>
      </c>
      <c r="Q135" s="271">
        <v>2800</v>
      </c>
      <c r="R135" s="271">
        <v>2344</v>
      </c>
      <c r="S135" s="271">
        <v>5869</v>
      </c>
      <c r="T135" s="271">
        <v>1667</v>
      </c>
      <c r="U135" s="271">
        <v>32868</v>
      </c>
      <c r="V135" s="272">
        <v>18</v>
      </c>
      <c r="W135" s="273">
        <v>32886</v>
      </c>
      <c r="X135" s="271">
        <v>350</v>
      </c>
      <c r="Y135" s="271">
        <v>3863</v>
      </c>
      <c r="Z135" s="272">
        <v>28655</v>
      </c>
      <c r="AA135" s="284">
        <v>5236</v>
      </c>
      <c r="AB135" s="294">
        <v>33586.155021041457</v>
      </c>
    </row>
    <row r="136" spans="1:28" ht="13.5" customHeight="1">
      <c r="A136" s="18">
        <v>28</v>
      </c>
      <c r="B136" s="19" t="s">
        <v>33</v>
      </c>
      <c r="C136" s="274">
        <v>650</v>
      </c>
      <c r="D136" s="275">
        <v>9</v>
      </c>
      <c r="E136" s="275">
        <v>0</v>
      </c>
      <c r="F136" s="275">
        <v>15</v>
      </c>
      <c r="G136" s="275">
        <v>3631</v>
      </c>
      <c r="H136" s="275">
        <v>2065</v>
      </c>
      <c r="I136" s="275">
        <v>6641</v>
      </c>
      <c r="J136" s="275">
        <v>12649</v>
      </c>
      <c r="K136" s="275">
        <v>2875</v>
      </c>
      <c r="L136" s="275">
        <v>2492</v>
      </c>
      <c r="M136" s="275">
        <v>251</v>
      </c>
      <c r="N136" s="275">
        <v>1227</v>
      </c>
      <c r="O136" s="275">
        <v>8658</v>
      </c>
      <c r="P136" s="275">
        <v>3538</v>
      </c>
      <c r="Q136" s="275">
        <v>2787</v>
      </c>
      <c r="R136" s="275">
        <v>4809</v>
      </c>
      <c r="S136" s="275">
        <v>22385</v>
      </c>
      <c r="T136" s="275">
        <v>6923</v>
      </c>
      <c r="U136" s="275">
        <v>81605</v>
      </c>
      <c r="V136" s="276">
        <v>44</v>
      </c>
      <c r="W136" s="277">
        <v>81649</v>
      </c>
      <c r="X136" s="275">
        <v>659</v>
      </c>
      <c r="Y136" s="275">
        <v>10287</v>
      </c>
      <c r="Z136" s="276">
        <v>70659</v>
      </c>
      <c r="AA136" s="285">
        <v>4776</v>
      </c>
      <c r="AB136" s="295">
        <v>83501.986802508953</v>
      </c>
    </row>
    <row r="137" spans="1:28" ht="13.5" customHeight="1">
      <c r="A137" s="18">
        <v>29</v>
      </c>
      <c r="B137" s="19" t="s">
        <v>34</v>
      </c>
      <c r="C137" s="274">
        <v>2</v>
      </c>
      <c r="D137" s="275">
        <v>3</v>
      </c>
      <c r="E137" s="275">
        <v>15</v>
      </c>
      <c r="F137" s="275">
        <v>0</v>
      </c>
      <c r="G137" s="275">
        <v>16</v>
      </c>
      <c r="H137" s="275">
        <v>153</v>
      </c>
      <c r="I137" s="275">
        <v>456</v>
      </c>
      <c r="J137" s="275">
        <v>28</v>
      </c>
      <c r="K137" s="275">
        <v>262</v>
      </c>
      <c r="L137" s="275">
        <v>453</v>
      </c>
      <c r="M137" s="275">
        <v>0</v>
      </c>
      <c r="N137" s="275">
        <v>5</v>
      </c>
      <c r="O137" s="275">
        <v>109</v>
      </c>
      <c r="P137" s="275">
        <v>46</v>
      </c>
      <c r="Q137" s="275">
        <v>435</v>
      </c>
      <c r="R137" s="275">
        <v>294</v>
      </c>
      <c r="S137" s="275">
        <v>131</v>
      </c>
      <c r="T137" s="275">
        <v>601</v>
      </c>
      <c r="U137" s="275">
        <v>3009</v>
      </c>
      <c r="V137" s="276">
        <v>2</v>
      </c>
      <c r="W137" s="277">
        <v>3011</v>
      </c>
      <c r="X137" s="275">
        <v>20</v>
      </c>
      <c r="Y137" s="275">
        <v>472</v>
      </c>
      <c r="Z137" s="276">
        <v>2517</v>
      </c>
      <c r="AA137" s="285">
        <v>5246</v>
      </c>
      <c r="AB137" s="295">
        <v>3169.293630735307</v>
      </c>
    </row>
    <row r="138" spans="1:28" ht="13.5" customHeight="1">
      <c r="A138" s="18">
        <v>30</v>
      </c>
      <c r="B138" s="19" t="s">
        <v>35</v>
      </c>
      <c r="C138" s="274">
        <v>2</v>
      </c>
      <c r="D138" s="275">
        <v>0</v>
      </c>
      <c r="E138" s="275">
        <v>27</v>
      </c>
      <c r="F138" s="275">
        <v>0</v>
      </c>
      <c r="G138" s="275">
        <v>18</v>
      </c>
      <c r="H138" s="275">
        <v>83</v>
      </c>
      <c r="I138" s="275">
        <v>269</v>
      </c>
      <c r="J138" s="275">
        <v>94</v>
      </c>
      <c r="K138" s="275">
        <v>211</v>
      </c>
      <c r="L138" s="275">
        <v>637</v>
      </c>
      <c r="M138" s="275">
        <v>0</v>
      </c>
      <c r="N138" s="275">
        <v>9</v>
      </c>
      <c r="O138" s="275">
        <v>201</v>
      </c>
      <c r="P138" s="275">
        <v>151</v>
      </c>
      <c r="Q138" s="275">
        <v>436</v>
      </c>
      <c r="R138" s="275">
        <v>498</v>
      </c>
      <c r="S138" s="275">
        <v>198</v>
      </c>
      <c r="T138" s="275">
        <v>799</v>
      </c>
      <c r="U138" s="275">
        <v>3633</v>
      </c>
      <c r="V138" s="276">
        <v>2</v>
      </c>
      <c r="W138" s="277">
        <v>3635</v>
      </c>
      <c r="X138" s="275">
        <v>29</v>
      </c>
      <c r="Y138" s="275">
        <v>287</v>
      </c>
      <c r="Z138" s="276">
        <v>3317</v>
      </c>
      <c r="AA138" s="285">
        <v>5653</v>
      </c>
      <c r="AB138" s="295">
        <v>3792.5630668645099</v>
      </c>
    </row>
    <row r="139" spans="1:28" ht="13.5" customHeight="1">
      <c r="A139" s="18">
        <v>31</v>
      </c>
      <c r="B139" s="19" t="s">
        <v>36</v>
      </c>
      <c r="C139" s="274">
        <v>48</v>
      </c>
      <c r="D139" s="275">
        <v>0</v>
      </c>
      <c r="E139" s="275">
        <v>4</v>
      </c>
      <c r="F139" s="275">
        <v>15</v>
      </c>
      <c r="G139" s="275">
        <v>128</v>
      </c>
      <c r="H139" s="275">
        <v>87</v>
      </c>
      <c r="I139" s="275">
        <v>252</v>
      </c>
      <c r="J139" s="275">
        <v>25</v>
      </c>
      <c r="K139" s="275">
        <v>143</v>
      </c>
      <c r="L139" s="275">
        <v>77</v>
      </c>
      <c r="M139" s="275">
        <v>0</v>
      </c>
      <c r="N139" s="275">
        <v>4</v>
      </c>
      <c r="O139" s="275">
        <v>200</v>
      </c>
      <c r="P139" s="275">
        <v>10</v>
      </c>
      <c r="Q139" s="275">
        <v>419</v>
      </c>
      <c r="R139" s="275">
        <v>248</v>
      </c>
      <c r="S139" s="275">
        <v>344</v>
      </c>
      <c r="T139" s="275">
        <v>68</v>
      </c>
      <c r="U139" s="275">
        <v>2072</v>
      </c>
      <c r="V139" s="276">
        <v>1</v>
      </c>
      <c r="W139" s="277">
        <v>2073</v>
      </c>
      <c r="X139" s="275">
        <v>52</v>
      </c>
      <c r="Y139" s="275">
        <v>395</v>
      </c>
      <c r="Z139" s="276">
        <v>1625</v>
      </c>
      <c r="AA139" s="285">
        <v>4799</v>
      </c>
      <c r="AB139" s="295">
        <v>2154.3204970458123</v>
      </c>
    </row>
    <row r="140" spans="1:28" ht="13.5" customHeight="1">
      <c r="A140" s="18">
        <v>32</v>
      </c>
      <c r="B140" s="19" t="s">
        <v>37</v>
      </c>
      <c r="C140" s="274">
        <v>3</v>
      </c>
      <c r="D140" s="275">
        <v>0</v>
      </c>
      <c r="E140" s="275">
        <v>65</v>
      </c>
      <c r="F140" s="275">
        <v>0</v>
      </c>
      <c r="G140" s="275">
        <v>2</v>
      </c>
      <c r="H140" s="275">
        <v>44</v>
      </c>
      <c r="I140" s="275">
        <v>120</v>
      </c>
      <c r="J140" s="275">
        <v>16</v>
      </c>
      <c r="K140" s="275">
        <v>37</v>
      </c>
      <c r="L140" s="275">
        <v>47</v>
      </c>
      <c r="M140" s="275">
        <v>0</v>
      </c>
      <c r="N140" s="275">
        <v>5</v>
      </c>
      <c r="O140" s="275">
        <v>64</v>
      </c>
      <c r="P140" s="275">
        <v>0</v>
      </c>
      <c r="Q140" s="275">
        <v>284</v>
      </c>
      <c r="R140" s="275">
        <v>168</v>
      </c>
      <c r="S140" s="275">
        <v>124</v>
      </c>
      <c r="T140" s="275">
        <v>16</v>
      </c>
      <c r="U140" s="275">
        <v>995</v>
      </c>
      <c r="V140" s="276">
        <v>0</v>
      </c>
      <c r="W140" s="277">
        <v>995</v>
      </c>
      <c r="X140" s="275">
        <v>68</v>
      </c>
      <c r="Y140" s="275">
        <v>122</v>
      </c>
      <c r="Z140" s="276">
        <v>805</v>
      </c>
      <c r="AA140" s="285">
        <v>3179</v>
      </c>
      <c r="AB140" s="295">
        <v>1045.1679134805345</v>
      </c>
    </row>
    <row r="141" spans="1:28" ht="13.5" customHeight="1">
      <c r="A141" s="18">
        <v>33</v>
      </c>
      <c r="B141" s="19" t="s">
        <v>38</v>
      </c>
      <c r="C141" s="274">
        <v>657</v>
      </c>
      <c r="D141" s="275">
        <v>0</v>
      </c>
      <c r="E141" s="275">
        <v>24</v>
      </c>
      <c r="F141" s="275">
        <v>49</v>
      </c>
      <c r="G141" s="275">
        <v>1201</v>
      </c>
      <c r="H141" s="275">
        <v>234</v>
      </c>
      <c r="I141" s="275">
        <v>1897</v>
      </c>
      <c r="J141" s="275">
        <v>224</v>
      </c>
      <c r="K141" s="275">
        <v>87</v>
      </c>
      <c r="L141" s="275">
        <v>166</v>
      </c>
      <c r="M141" s="275">
        <v>0</v>
      </c>
      <c r="N141" s="275">
        <v>6</v>
      </c>
      <c r="O141" s="275">
        <v>115</v>
      </c>
      <c r="P141" s="275">
        <v>67</v>
      </c>
      <c r="Q141" s="275">
        <v>743</v>
      </c>
      <c r="R141" s="275">
        <v>281</v>
      </c>
      <c r="S141" s="275">
        <v>155</v>
      </c>
      <c r="T141" s="275">
        <v>156</v>
      </c>
      <c r="U141" s="275">
        <v>6062</v>
      </c>
      <c r="V141" s="276">
        <v>3</v>
      </c>
      <c r="W141" s="277">
        <v>6065</v>
      </c>
      <c r="X141" s="275">
        <v>681</v>
      </c>
      <c r="Y141" s="275">
        <v>3147</v>
      </c>
      <c r="Z141" s="276">
        <v>2234</v>
      </c>
      <c r="AA141" s="285">
        <v>5684</v>
      </c>
      <c r="AB141" s="295">
        <v>6383.7933969571504</v>
      </c>
    </row>
    <row r="142" spans="1:28" ht="13.5" customHeight="1">
      <c r="A142" s="18">
        <v>34</v>
      </c>
      <c r="B142" s="19" t="s">
        <v>39</v>
      </c>
      <c r="C142" s="274">
        <v>270</v>
      </c>
      <c r="D142" s="275">
        <v>0</v>
      </c>
      <c r="E142" s="275">
        <v>4</v>
      </c>
      <c r="F142" s="275">
        <v>0</v>
      </c>
      <c r="G142" s="275">
        <v>311</v>
      </c>
      <c r="H142" s="275">
        <v>80</v>
      </c>
      <c r="I142" s="275">
        <v>1977</v>
      </c>
      <c r="J142" s="275">
        <v>56</v>
      </c>
      <c r="K142" s="275">
        <v>104</v>
      </c>
      <c r="L142" s="275">
        <v>139</v>
      </c>
      <c r="M142" s="275">
        <v>0</v>
      </c>
      <c r="N142" s="275">
        <v>4</v>
      </c>
      <c r="O142" s="275">
        <v>33</v>
      </c>
      <c r="P142" s="275">
        <v>6</v>
      </c>
      <c r="Q142" s="275">
        <v>348</v>
      </c>
      <c r="R142" s="275">
        <v>237</v>
      </c>
      <c r="S142" s="275">
        <v>113</v>
      </c>
      <c r="T142" s="275">
        <v>47</v>
      </c>
      <c r="U142" s="275">
        <v>3729</v>
      </c>
      <c r="V142" s="276">
        <v>2</v>
      </c>
      <c r="W142" s="277">
        <v>3731</v>
      </c>
      <c r="X142" s="275">
        <v>274</v>
      </c>
      <c r="Y142" s="275">
        <v>2288</v>
      </c>
      <c r="Z142" s="276">
        <v>1167</v>
      </c>
      <c r="AA142" s="285">
        <v>6723</v>
      </c>
      <c r="AB142" s="295">
        <v>3898.0152975041533</v>
      </c>
    </row>
    <row r="143" spans="1:28" ht="13.5" customHeight="1">
      <c r="A143" s="18">
        <v>35</v>
      </c>
      <c r="B143" s="19" t="s">
        <v>40</v>
      </c>
      <c r="C143" s="274">
        <v>114</v>
      </c>
      <c r="D143" s="275">
        <v>2</v>
      </c>
      <c r="E143" s="275">
        <v>76</v>
      </c>
      <c r="F143" s="275">
        <v>0</v>
      </c>
      <c r="G143" s="275">
        <v>416</v>
      </c>
      <c r="H143" s="275">
        <v>94</v>
      </c>
      <c r="I143" s="275">
        <v>1223</v>
      </c>
      <c r="J143" s="275">
        <v>211</v>
      </c>
      <c r="K143" s="275">
        <v>279</v>
      </c>
      <c r="L143" s="275">
        <v>110</v>
      </c>
      <c r="M143" s="275">
        <v>0</v>
      </c>
      <c r="N143" s="275">
        <v>5</v>
      </c>
      <c r="O143" s="275">
        <v>147</v>
      </c>
      <c r="P143" s="275">
        <v>114</v>
      </c>
      <c r="Q143" s="275">
        <v>652</v>
      </c>
      <c r="R143" s="275">
        <v>462</v>
      </c>
      <c r="S143" s="275">
        <v>168</v>
      </c>
      <c r="T143" s="275">
        <v>161</v>
      </c>
      <c r="U143" s="275">
        <v>4234</v>
      </c>
      <c r="V143" s="276">
        <v>2</v>
      </c>
      <c r="W143" s="277">
        <v>4236</v>
      </c>
      <c r="X143" s="275">
        <v>192</v>
      </c>
      <c r="Y143" s="275">
        <v>1639</v>
      </c>
      <c r="Z143" s="276">
        <v>2403</v>
      </c>
      <c r="AA143" s="285">
        <v>5694</v>
      </c>
      <c r="AB143" s="295">
        <v>4432.4327164340184</v>
      </c>
    </row>
    <row r="144" spans="1:28" ht="13.5" customHeight="1">
      <c r="A144" s="18">
        <v>36</v>
      </c>
      <c r="B144" s="19" t="s">
        <v>41</v>
      </c>
      <c r="C144" s="274">
        <v>374</v>
      </c>
      <c r="D144" s="275">
        <v>0</v>
      </c>
      <c r="E144" s="275">
        <v>119</v>
      </c>
      <c r="F144" s="275">
        <v>0</v>
      </c>
      <c r="G144" s="275">
        <v>398</v>
      </c>
      <c r="H144" s="275">
        <v>48</v>
      </c>
      <c r="I144" s="275">
        <v>2486</v>
      </c>
      <c r="J144" s="275">
        <v>160</v>
      </c>
      <c r="K144" s="275">
        <v>403</v>
      </c>
      <c r="L144" s="275">
        <v>188</v>
      </c>
      <c r="M144" s="275">
        <v>0</v>
      </c>
      <c r="N144" s="275">
        <v>5</v>
      </c>
      <c r="O144" s="275">
        <v>276</v>
      </c>
      <c r="P144" s="275">
        <v>25</v>
      </c>
      <c r="Q144" s="275">
        <v>686</v>
      </c>
      <c r="R144" s="275">
        <v>328</v>
      </c>
      <c r="S144" s="275">
        <v>348</v>
      </c>
      <c r="T144" s="275">
        <v>165</v>
      </c>
      <c r="U144" s="275">
        <v>6009</v>
      </c>
      <c r="V144" s="276">
        <v>3</v>
      </c>
      <c r="W144" s="277">
        <v>6012</v>
      </c>
      <c r="X144" s="275">
        <v>493</v>
      </c>
      <c r="Y144" s="275">
        <v>2884</v>
      </c>
      <c r="Z144" s="276">
        <v>2632</v>
      </c>
      <c r="AA144" s="285">
        <v>6599</v>
      </c>
      <c r="AB144" s="295">
        <v>6324.0232318933331</v>
      </c>
    </row>
    <row r="145" spans="1:28" ht="13.5" customHeight="1">
      <c r="A145" s="18">
        <v>37</v>
      </c>
      <c r="B145" s="19" t="s">
        <v>49</v>
      </c>
      <c r="C145" s="274">
        <v>1155</v>
      </c>
      <c r="D145" s="275">
        <v>0</v>
      </c>
      <c r="E145" s="275">
        <v>553</v>
      </c>
      <c r="F145" s="275">
        <v>15</v>
      </c>
      <c r="G145" s="275">
        <v>3037</v>
      </c>
      <c r="H145" s="275">
        <v>1071</v>
      </c>
      <c r="I145" s="275">
        <v>1458</v>
      </c>
      <c r="J145" s="275">
        <v>1231</v>
      </c>
      <c r="K145" s="275">
        <v>984</v>
      </c>
      <c r="L145" s="275">
        <v>1056</v>
      </c>
      <c r="M145" s="275">
        <v>0</v>
      </c>
      <c r="N145" s="275">
        <v>205</v>
      </c>
      <c r="O145" s="275">
        <v>1956</v>
      </c>
      <c r="P145" s="275">
        <v>678</v>
      </c>
      <c r="Q145" s="275">
        <v>3768</v>
      </c>
      <c r="R145" s="275">
        <v>1778</v>
      </c>
      <c r="S145" s="275">
        <v>1661</v>
      </c>
      <c r="T145" s="275">
        <v>974</v>
      </c>
      <c r="U145" s="275">
        <v>21580</v>
      </c>
      <c r="V145" s="276">
        <v>11</v>
      </c>
      <c r="W145" s="277">
        <v>21591</v>
      </c>
      <c r="X145" s="275">
        <v>1708</v>
      </c>
      <c r="Y145" s="275">
        <v>4510</v>
      </c>
      <c r="Z145" s="276">
        <v>15362</v>
      </c>
      <c r="AA145" s="285">
        <v>4455</v>
      </c>
      <c r="AB145" s="295">
        <v>22642.771271144182</v>
      </c>
    </row>
    <row r="146" spans="1:28" ht="13.5" customHeight="1">
      <c r="A146" s="20">
        <v>38</v>
      </c>
      <c r="B146" s="21" t="s">
        <v>50</v>
      </c>
      <c r="C146" s="278">
        <v>3061</v>
      </c>
      <c r="D146" s="279">
        <v>0</v>
      </c>
      <c r="E146" s="279">
        <v>142</v>
      </c>
      <c r="F146" s="279">
        <v>46</v>
      </c>
      <c r="G146" s="279">
        <v>1693</v>
      </c>
      <c r="H146" s="279">
        <v>1302</v>
      </c>
      <c r="I146" s="279">
        <v>6317</v>
      </c>
      <c r="J146" s="279">
        <v>3319</v>
      </c>
      <c r="K146" s="279">
        <v>1343</v>
      </c>
      <c r="L146" s="279">
        <v>653</v>
      </c>
      <c r="M146" s="279">
        <v>47</v>
      </c>
      <c r="N146" s="279">
        <v>340</v>
      </c>
      <c r="O146" s="279">
        <v>7317</v>
      </c>
      <c r="P146" s="279">
        <v>1837</v>
      </c>
      <c r="Q146" s="279">
        <v>6302</v>
      </c>
      <c r="R146" s="279">
        <v>4765</v>
      </c>
      <c r="S146" s="279">
        <v>8505</v>
      </c>
      <c r="T146" s="279">
        <v>3109</v>
      </c>
      <c r="U146" s="279">
        <v>50098</v>
      </c>
      <c r="V146" s="280">
        <v>27</v>
      </c>
      <c r="W146" s="281">
        <v>50125</v>
      </c>
      <c r="X146" s="279">
        <v>3203</v>
      </c>
      <c r="Y146" s="279">
        <v>8056</v>
      </c>
      <c r="Z146" s="280">
        <v>38839</v>
      </c>
      <c r="AA146" s="286">
        <v>5236</v>
      </c>
      <c r="AB146" s="296">
        <v>51544.123896611818</v>
      </c>
    </row>
    <row r="147" spans="1:28" ht="13.5" customHeight="1">
      <c r="A147" s="20">
        <v>39</v>
      </c>
      <c r="B147" s="21" t="s">
        <v>42</v>
      </c>
      <c r="C147" s="266">
        <v>641</v>
      </c>
      <c r="D147" s="267">
        <v>0</v>
      </c>
      <c r="E147" s="267">
        <v>2</v>
      </c>
      <c r="F147" s="267">
        <v>0</v>
      </c>
      <c r="G147" s="267">
        <v>680</v>
      </c>
      <c r="H147" s="267">
        <v>83</v>
      </c>
      <c r="I147" s="267">
        <v>672</v>
      </c>
      <c r="J147" s="267">
        <v>115</v>
      </c>
      <c r="K147" s="267">
        <v>152</v>
      </c>
      <c r="L147" s="267">
        <v>88</v>
      </c>
      <c r="M147" s="267">
        <v>0</v>
      </c>
      <c r="N147" s="267">
        <v>6</v>
      </c>
      <c r="O147" s="267">
        <v>224</v>
      </c>
      <c r="P147" s="267">
        <v>37</v>
      </c>
      <c r="Q147" s="267">
        <v>616</v>
      </c>
      <c r="R147" s="267">
        <v>329</v>
      </c>
      <c r="S147" s="267">
        <v>156</v>
      </c>
      <c r="T147" s="267">
        <v>92</v>
      </c>
      <c r="U147" s="267">
        <v>3893</v>
      </c>
      <c r="V147" s="268">
        <v>2</v>
      </c>
      <c r="W147" s="269">
        <v>3895</v>
      </c>
      <c r="X147" s="267">
        <v>643</v>
      </c>
      <c r="Y147" s="267">
        <v>1352</v>
      </c>
      <c r="Z147" s="268">
        <v>1898</v>
      </c>
      <c r="AA147" s="283">
        <v>5193</v>
      </c>
      <c r="AB147" s="293">
        <v>4067.6634442767154</v>
      </c>
    </row>
    <row r="148" spans="1:28" ht="13.5" customHeight="1">
      <c r="A148" s="18">
        <v>40</v>
      </c>
      <c r="B148" s="19" t="s">
        <v>43</v>
      </c>
      <c r="C148" s="270">
        <v>1039</v>
      </c>
      <c r="D148" s="271">
        <v>7</v>
      </c>
      <c r="E148" s="271">
        <v>31</v>
      </c>
      <c r="F148" s="271">
        <v>0</v>
      </c>
      <c r="G148" s="271">
        <v>746</v>
      </c>
      <c r="H148" s="271">
        <v>319</v>
      </c>
      <c r="I148" s="271">
        <v>3092</v>
      </c>
      <c r="J148" s="271">
        <v>359</v>
      </c>
      <c r="K148" s="271">
        <v>1309</v>
      </c>
      <c r="L148" s="271">
        <v>2354</v>
      </c>
      <c r="M148" s="271">
        <v>0</v>
      </c>
      <c r="N148" s="271">
        <v>38</v>
      </c>
      <c r="O148" s="271">
        <v>1061</v>
      </c>
      <c r="P148" s="271">
        <v>835</v>
      </c>
      <c r="Q148" s="271">
        <v>521</v>
      </c>
      <c r="R148" s="271">
        <v>1805</v>
      </c>
      <c r="S148" s="271">
        <v>456</v>
      </c>
      <c r="T148" s="271">
        <v>1908</v>
      </c>
      <c r="U148" s="271">
        <v>15880</v>
      </c>
      <c r="V148" s="272">
        <v>8</v>
      </c>
      <c r="W148" s="273">
        <v>15888</v>
      </c>
      <c r="X148" s="271">
        <v>1077</v>
      </c>
      <c r="Y148" s="271">
        <v>3838</v>
      </c>
      <c r="Z148" s="272">
        <v>10965</v>
      </c>
      <c r="AA148" s="284">
        <v>5620</v>
      </c>
      <c r="AB148" s="294">
        <v>16700.720713162034</v>
      </c>
    </row>
    <row r="149" spans="1:28" ht="13.5" customHeight="1">
      <c r="A149" s="20">
        <v>41</v>
      </c>
      <c r="B149" s="21" t="s">
        <v>44</v>
      </c>
      <c r="C149" s="278">
        <v>164</v>
      </c>
      <c r="D149" s="279">
        <v>0</v>
      </c>
      <c r="E149" s="279">
        <v>116</v>
      </c>
      <c r="F149" s="279">
        <v>9</v>
      </c>
      <c r="G149" s="279">
        <v>456</v>
      </c>
      <c r="H149" s="279">
        <v>259</v>
      </c>
      <c r="I149" s="279">
        <v>1237</v>
      </c>
      <c r="J149" s="279">
        <v>175</v>
      </c>
      <c r="K149" s="279">
        <v>421</v>
      </c>
      <c r="L149" s="279">
        <v>395</v>
      </c>
      <c r="M149" s="279">
        <v>0</v>
      </c>
      <c r="N149" s="279">
        <v>11</v>
      </c>
      <c r="O149" s="279">
        <v>347</v>
      </c>
      <c r="P149" s="279">
        <v>133</v>
      </c>
      <c r="Q149" s="279">
        <v>768</v>
      </c>
      <c r="R149" s="279">
        <v>678</v>
      </c>
      <c r="S149" s="279">
        <v>385</v>
      </c>
      <c r="T149" s="279">
        <v>296</v>
      </c>
      <c r="U149" s="279">
        <v>5850</v>
      </c>
      <c r="V149" s="280">
        <v>3</v>
      </c>
      <c r="W149" s="281">
        <v>5853</v>
      </c>
      <c r="X149" s="279">
        <v>280</v>
      </c>
      <c r="Y149" s="279">
        <v>1702</v>
      </c>
      <c r="Z149" s="280">
        <v>3868</v>
      </c>
      <c r="AA149" s="286">
        <v>3982</v>
      </c>
      <c r="AB149" s="296">
        <v>6110.9022327880193</v>
      </c>
    </row>
    <row r="150" spans="1:28" ht="15.75" customHeight="1">
      <c r="A150" s="123" t="s">
        <v>146</v>
      </c>
      <c r="B150" s="7" t="s">
        <v>152</v>
      </c>
      <c r="C150" s="270">
        <v>13807</v>
      </c>
      <c r="D150" s="271">
        <v>193</v>
      </c>
      <c r="E150" s="271">
        <v>1752</v>
      </c>
      <c r="F150" s="271">
        <v>1379</v>
      </c>
      <c r="G150" s="271">
        <v>22442</v>
      </c>
      <c r="H150" s="271">
        <v>19508</v>
      </c>
      <c r="I150" s="271">
        <v>46097</v>
      </c>
      <c r="J150" s="271">
        <v>22906</v>
      </c>
      <c r="K150" s="271">
        <v>12133</v>
      </c>
      <c r="L150" s="271">
        <v>26296</v>
      </c>
      <c r="M150" s="271">
        <v>4058</v>
      </c>
      <c r="N150" s="271">
        <v>5712</v>
      </c>
      <c r="O150" s="271">
        <v>36317</v>
      </c>
      <c r="P150" s="271">
        <v>22144</v>
      </c>
      <c r="Q150" s="271">
        <v>28558</v>
      </c>
      <c r="R150" s="271">
        <v>28097</v>
      </c>
      <c r="S150" s="271">
        <v>48917</v>
      </c>
      <c r="T150" s="271">
        <v>23396</v>
      </c>
      <c r="U150" s="271">
        <v>363712</v>
      </c>
      <c r="V150" s="272">
        <v>194</v>
      </c>
      <c r="W150" s="273">
        <v>363906</v>
      </c>
      <c r="X150" s="271">
        <v>15752</v>
      </c>
      <c r="Y150" s="271">
        <v>69918</v>
      </c>
      <c r="Z150" s="272">
        <v>278042</v>
      </c>
      <c r="AA150" s="284">
        <v>5110</v>
      </c>
      <c r="AB150" s="294">
        <v>379300.08045200538</v>
      </c>
    </row>
    <row r="151" spans="1:28" ht="15.75" customHeight="1">
      <c r="A151" s="124" t="s">
        <v>147</v>
      </c>
      <c r="B151" s="17" t="s">
        <v>153</v>
      </c>
      <c r="C151" s="274">
        <v>5352</v>
      </c>
      <c r="D151" s="275">
        <v>11</v>
      </c>
      <c r="E151" s="275">
        <v>1399</v>
      </c>
      <c r="F151" s="275">
        <v>1147</v>
      </c>
      <c r="G151" s="275">
        <v>73564</v>
      </c>
      <c r="H151" s="275">
        <v>78825</v>
      </c>
      <c r="I151" s="275">
        <v>114255</v>
      </c>
      <c r="J151" s="275">
        <v>184200</v>
      </c>
      <c r="K151" s="275">
        <v>49660</v>
      </c>
      <c r="L151" s="275">
        <v>47711</v>
      </c>
      <c r="M151" s="275">
        <v>72842</v>
      </c>
      <c r="N151" s="275">
        <v>33969</v>
      </c>
      <c r="O151" s="275">
        <v>197598</v>
      </c>
      <c r="P151" s="275">
        <v>121711</v>
      </c>
      <c r="Q151" s="275">
        <v>84873</v>
      </c>
      <c r="R151" s="275">
        <v>92501</v>
      </c>
      <c r="S151" s="275">
        <v>178724</v>
      </c>
      <c r="T151" s="275">
        <v>88755</v>
      </c>
      <c r="U151" s="275">
        <v>1427097</v>
      </c>
      <c r="V151" s="276">
        <v>765</v>
      </c>
      <c r="W151" s="277">
        <v>1427862</v>
      </c>
      <c r="X151" s="275">
        <v>6762</v>
      </c>
      <c r="Y151" s="275">
        <v>188966</v>
      </c>
      <c r="Z151" s="276">
        <v>1231369</v>
      </c>
      <c r="AA151" s="285">
        <v>5699</v>
      </c>
      <c r="AB151" s="295">
        <v>1475549.411897358</v>
      </c>
    </row>
    <row r="152" spans="1:28" ht="15.75" customHeight="1">
      <c r="A152" s="124" t="s">
        <v>148</v>
      </c>
      <c r="B152" s="17" t="s">
        <v>154</v>
      </c>
      <c r="C152" s="274">
        <v>13428</v>
      </c>
      <c r="D152" s="275">
        <v>18</v>
      </c>
      <c r="E152" s="275">
        <v>2081</v>
      </c>
      <c r="F152" s="275">
        <v>734</v>
      </c>
      <c r="G152" s="275">
        <v>44258</v>
      </c>
      <c r="H152" s="275">
        <v>13704</v>
      </c>
      <c r="I152" s="275">
        <v>56490</v>
      </c>
      <c r="J152" s="275">
        <v>53630</v>
      </c>
      <c r="K152" s="275">
        <v>24564</v>
      </c>
      <c r="L152" s="275">
        <v>15577</v>
      </c>
      <c r="M152" s="275">
        <v>4803</v>
      </c>
      <c r="N152" s="275">
        <v>7205</v>
      </c>
      <c r="O152" s="275">
        <v>67433</v>
      </c>
      <c r="P152" s="275">
        <v>32637</v>
      </c>
      <c r="Q152" s="275">
        <v>40773</v>
      </c>
      <c r="R152" s="275">
        <v>32689</v>
      </c>
      <c r="S152" s="275">
        <v>89069</v>
      </c>
      <c r="T152" s="275">
        <v>33052</v>
      </c>
      <c r="U152" s="275">
        <v>532145</v>
      </c>
      <c r="V152" s="276">
        <v>284</v>
      </c>
      <c r="W152" s="277">
        <v>532429</v>
      </c>
      <c r="X152" s="275">
        <v>15527</v>
      </c>
      <c r="Y152" s="275">
        <v>101482</v>
      </c>
      <c r="Z152" s="276">
        <v>415136</v>
      </c>
      <c r="AA152" s="285">
        <v>5056</v>
      </c>
      <c r="AB152" s="295">
        <v>548821.75176316965</v>
      </c>
    </row>
    <row r="153" spans="1:28" ht="15.75" customHeight="1">
      <c r="A153" s="124" t="s">
        <v>149</v>
      </c>
      <c r="B153" s="17" t="s">
        <v>155</v>
      </c>
      <c r="C153" s="274">
        <v>284</v>
      </c>
      <c r="D153" s="275">
        <v>27</v>
      </c>
      <c r="E153" s="275">
        <v>1727</v>
      </c>
      <c r="F153" s="275">
        <v>238</v>
      </c>
      <c r="G153" s="275">
        <v>13771</v>
      </c>
      <c r="H153" s="275">
        <v>23313</v>
      </c>
      <c r="I153" s="275">
        <v>53277</v>
      </c>
      <c r="J153" s="275">
        <v>122216</v>
      </c>
      <c r="K153" s="275">
        <v>140846</v>
      </c>
      <c r="L153" s="275">
        <v>49937</v>
      </c>
      <c r="M153" s="275">
        <v>107258</v>
      </c>
      <c r="N153" s="275">
        <v>92518</v>
      </c>
      <c r="O153" s="275">
        <v>127855</v>
      </c>
      <c r="P153" s="275">
        <v>148077</v>
      </c>
      <c r="Q153" s="275">
        <v>171255</v>
      </c>
      <c r="R153" s="275">
        <v>37462</v>
      </c>
      <c r="S153" s="275">
        <v>95814</v>
      </c>
      <c r="T153" s="275">
        <v>58370</v>
      </c>
      <c r="U153" s="275">
        <v>1244245</v>
      </c>
      <c r="V153" s="276">
        <v>669</v>
      </c>
      <c r="W153" s="277">
        <v>1244914</v>
      </c>
      <c r="X153" s="275">
        <v>2038</v>
      </c>
      <c r="Y153" s="275">
        <v>67286</v>
      </c>
      <c r="Z153" s="276">
        <v>1174921</v>
      </c>
      <c r="AA153" s="285">
        <v>7225</v>
      </c>
      <c r="AB153" s="295">
        <v>1283164.1165247303</v>
      </c>
    </row>
    <row r="154" spans="1:28" ht="15.75" customHeight="1">
      <c r="A154" s="124" t="s">
        <v>150</v>
      </c>
      <c r="B154" s="17" t="s">
        <v>156</v>
      </c>
      <c r="C154" s="274">
        <v>8144</v>
      </c>
      <c r="D154" s="275">
        <v>40</v>
      </c>
      <c r="E154" s="275">
        <v>498</v>
      </c>
      <c r="F154" s="275">
        <v>152</v>
      </c>
      <c r="G154" s="275">
        <v>10908</v>
      </c>
      <c r="H154" s="275">
        <v>5737</v>
      </c>
      <c r="I154" s="275">
        <v>17092</v>
      </c>
      <c r="J154" s="275">
        <v>18658</v>
      </c>
      <c r="K154" s="275">
        <v>7408</v>
      </c>
      <c r="L154" s="275">
        <v>6789</v>
      </c>
      <c r="M154" s="275">
        <v>2012</v>
      </c>
      <c r="N154" s="275">
        <v>2376</v>
      </c>
      <c r="O154" s="275">
        <v>14677</v>
      </c>
      <c r="P154" s="275">
        <v>10190</v>
      </c>
      <c r="Q154" s="275">
        <v>17770</v>
      </c>
      <c r="R154" s="275">
        <v>10406</v>
      </c>
      <c r="S154" s="275">
        <v>18689</v>
      </c>
      <c r="T154" s="275">
        <v>6283</v>
      </c>
      <c r="U154" s="275">
        <v>157829</v>
      </c>
      <c r="V154" s="276">
        <v>84</v>
      </c>
      <c r="W154" s="277">
        <v>157913</v>
      </c>
      <c r="X154" s="275">
        <v>8682</v>
      </c>
      <c r="Y154" s="275">
        <v>28152</v>
      </c>
      <c r="Z154" s="276">
        <v>120995</v>
      </c>
      <c r="AA154" s="285">
        <v>5640</v>
      </c>
      <c r="AB154" s="295">
        <v>164058.6890341196</v>
      </c>
    </row>
    <row r="155" spans="1:28" ht="15.75" customHeight="1">
      <c r="A155" s="125" t="s">
        <v>151</v>
      </c>
      <c r="B155" s="117" t="s">
        <v>157</v>
      </c>
      <c r="C155" s="278">
        <v>6078</v>
      </c>
      <c r="D155" s="279">
        <v>30</v>
      </c>
      <c r="E155" s="279">
        <v>611</v>
      </c>
      <c r="F155" s="279">
        <v>238</v>
      </c>
      <c r="G155" s="279">
        <v>7126</v>
      </c>
      <c r="H155" s="279">
        <v>6058</v>
      </c>
      <c r="I155" s="279">
        <v>15594</v>
      </c>
      <c r="J155" s="279">
        <v>12679</v>
      </c>
      <c r="K155" s="279">
        <v>16177</v>
      </c>
      <c r="L155" s="279">
        <v>13684</v>
      </c>
      <c r="M155" s="279">
        <v>1422</v>
      </c>
      <c r="N155" s="279">
        <v>2600</v>
      </c>
      <c r="O155" s="279">
        <v>17251</v>
      </c>
      <c r="P155" s="279">
        <v>15561</v>
      </c>
      <c r="Q155" s="279">
        <v>18454</v>
      </c>
      <c r="R155" s="279">
        <v>11038</v>
      </c>
      <c r="S155" s="279">
        <v>13136</v>
      </c>
      <c r="T155" s="279">
        <v>8740</v>
      </c>
      <c r="U155" s="279">
        <v>166477</v>
      </c>
      <c r="V155" s="280">
        <v>88</v>
      </c>
      <c r="W155" s="281">
        <v>166565</v>
      </c>
      <c r="X155" s="279">
        <v>6719</v>
      </c>
      <c r="Y155" s="279">
        <v>22958</v>
      </c>
      <c r="Z155" s="280">
        <v>136800</v>
      </c>
      <c r="AA155" s="286">
        <v>5560</v>
      </c>
      <c r="AB155" s="296">
        <v>174047.17971911957</v>
      </c>
    </row>
    <row r="156" spans="1:28" ht="15.75" customHeight="1">
      <c r="B156" s="25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8" spans="1:28" ht="13.5" customHeight="1">
      <c r="A158" s="56">
        <f>A106+1</f>
        <v>26</v>
      </c>
      <c r="B158" s="51" t="str">
        <f>IF(A158&lt;22,"令和"&amp;A158&amp;"年度","平成"&amp;A158&amp;"年度")</f>
        <v>平成26年度</v>
      </c>
      <c r="C158" s="57" t="str">
        <f>C$2</f>
        <v>経済活動別市町村内総生産（百万円）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1"/>
      <c r="Y158" s="2"/>
      <c r="Z158" s="58"/>
      <c r="AA158" s="58"/>
      <c r="AB158" s="58"/>
    </row>
    <row r="159" spans="1:28" ht="45" customHeight="1">
      <c r="A159" s="198"/>
      <c r="B159" s="88"/>
      <c r="C159" s="89" t="s">
        <v>51</v>
      </c>
      <c r="D159" s="89" t="s">
        <v>52</v>
      </c>
      <c r="E159" s="89" t="s">
        <v>53</v>
      </c>
      <c r="F159" s="89" t="s">
        <v>54</v>
      </c>
      <c r="G159" s="89" t="s">
        <v>55</v>
      </c>
      <c r="H159" s="89" t="s">
        <v>56</v>
      </c>
      <c r="I159" s="89" t="s">
        <v>57</v>
      </c>
      <c r="J159" s="89" t="s">
        <v>58</v>
      </c>
      <c r="K159" s="89" t="s">
        <v>59</v>
      </c>
      <c r="L159" s="89" t="s">
        <v>60</v>
      </c>
      <c r="M159" s="89" t="s">
        <v>61</v>
      </c>
      <c r="N159" s="89" t="s">
        <v>62</v>
      </c>
      <c r="O159" s="89" t="s">
        <v>63</v>
      </c>
      <c r="P159" s="89" t="s">
        <v>64</v>
      </c>
      <c r="Q159" s="89" t="s">
        <v>65</v>
      </c>
      <c r="R159" s="89" t="s">
        <v>66</v>
      </c>
      <c r="S159" s="89" t="s">
        <v>67</v>
      </c>
      <c r="T159" s="89" t="s">
        <v>68</v>
      </c>
      <c r="U159" s="89" t="s">
        <v>70</v>
      </c>
      <c r="V159" s="90" t="s">
        <v>69</v>
      </c>
      <c r="W159" s="91" t="s">
        <v>71</v>
      </c>
      <c r="X159" s="89" t="s">
        <v>72</v>
      </c>
      <c r="Y159" s="89" t="s">
        <v>73</v>
      </c>
      <c r="Z159" s="89" t="s">
        <v>74</v>
      </c>
      <c r="AA159" s="282" t="s">
        <v>277</v>
      </c>
      <c r="AB159" s="292" t="s">
        <v>278</v>
      </c>
    </row>
    <row r="160" spans="1:28" ht="13.5" customHeight="1">
      <c r="A160" s="165" t="s">
        <v>160</v>
      </c>
      <c r="B160" s="22" t="s">
        <v>0</v>
      </c>
      <c r="C160" s="266">
        <v>50557</v>
      </c>
      <c r="D160" s="267">
        <v>361</v>
      </c>
      <c r="E160" s="267">
        <v>9031</v>
      </c>
      <c r="F160" s="267">
        <v>4507</v>
      </c>
      <c r="G160" s="267">
        <v>166337</v>
      </c>
      <c r="H160" s="267">
        <v>159702</v>
      </c>
      <c r="I160" s="267">
        <v>331952</v>
      </c>
      <c r="J160" s="267">
        <v>409943</v>
      </c>
      <c r="K160" s="267">
        <v>247565</v>
      </c>
      <c r="L160" s="267">
        <v>159645</v>
      </c>
      <c r="M160" s="267">
        <v>188913</v>
      </c>
      <c r="N160" s="267">
        <v>142529</v>
      </c>
      <c r="O160" s="267">
        <v>474615</v>
      </c>
      <c r="P160" s="267">
        <v>360665</v>
      </c>
      <c r="Q160" s="267">
        <v>374301</v>
      </c>
      <c r="R160" s="267">
        <v>219620</v>
      </c>
      <c r="S160" s="267">
        <v>448144</v>
      </c>
      <c r="T160" s="267">
        <v>216366</v>
      </c>
      <c r="U160" s="267">
        <v>3964753</v>
      </c>
      <c r="V160" s="268">
        <v>-3031</v>
      </c>
      <c r="W160" s="269">
        <v>3961722</v>
      </c>
      <c r="X160" s="267">
        <v>59949</v>
      </c>
      <c r="Y160" s="267">
        <v>502796</v>
      </c>
      <c r="Z160" s="268">
        <v>3402008</v>
      </c>
      <c r="AA160" s="283">
        <v>5899</v>
      </c>
      <c r="AB160" s="293">
        <v>4014011</v>
      </c>
    </row>
    <row r="161" spans="1:28" ht="13.5" customHeight="1">
      <c r="A161" s="16" t="s">
        <v>1</v>
      </c>
      <c r="B161" s="17" t="s">
        <v>2</v>
      </c>
      <c r="C161" s="270">
        <v>277</v>
      </c>
      <c r="D161" s="271">
        <v>32</v>
      </c>
      <c r="E161" s="271">
        <v>1717</v>
      </c>
      <c r="F161" s="271">
        <v>288</v>
      </c>
      <c r="G161" s="271">
        <v>13528</v>
      </c>
      <c r="H161" s="271">
        <v>28705</v>
      </c>
      <c r="I161" s="271">
        <v>79695</v>
      </c>
      <c r="J161" s="271">
        <v>120743</v>
      </c>
      <c r="K161" s="271">
        <v>134994</v>
      </c>
      <c r="L161" s="271">
        <v>49005</v>
      </c>
      <c r="M161" s="271">
        <v>98532</v>
      </c>
      <c r="N161" s="271">
        <v>91900</v>
      </c>
      <c r="O161" s="271">
        <v>132242</v>
      </c>
      <c r="P161" s="271">
        <v>152578</v>
      </c>
      <c r="Q161" s="271">
        <v>182370</v>
      </c>
      <c r="R161" s="271">
        <v>37594</v>
      </c>
      <c r="S161" s="271">
        <v>96957</v>
      </c>
      <c r="T161" s="271">
        <v>57911</v>
      </c>
      <c r="U161" s="271">
        <v>1279068</v>
      </c>
      <c r="V161" s="272">
        <v>-977</v>
      </c>
      <c r="W161" s="273">
        <v>1278091</v>
      </c>
      <c r="X161" s="271">
        <v>2026</v>
      </c>
      <c r="Y161" s="271">
        <v>93511</v>
      </c>
      <c r="Z161" s="272">
        <v>1183531</v>
      </c>
      <c r="AA161" s="284">
        <v>7259</v>
      </c>
      <c r="AB161" s="294">
        <v>1289663.9001692208</v>
      </c>
    </row>
    <row r="162" spans="1:28" ht="13.5" customHeight="1">
      <c r="A162" s="18" t="s">
        <v>3</v>
      </c>
      <c r="B162" s="19" t="s">
        <v>4</v>
      </c>
      <c r="C162" s="274">
        <v>97</v>
      </c>
      <c r="D162" s="275">
        <v>0</v>
      </c>
      <c r="E162" s="275">
        <v>130</v>
      </c>
      <c r="F162" s="275">
        <v>427</v>
      </c>
      <c r="G162" s="275">
        <v>3795</v>
      </c>
      <c r="H162" s="275">
        <v>6089</v>
      </c>
      <c r="I162" s="275">
        <v>18640</v>
      </c>
      <c r="J162" s="275">
        <v>24003</v>
      </c>
      <c r="K162" s="275">
        <v>4959</v>
      </c>
      <c r="L162" s="275">
        <v>7897</v>
      </c>
      <c r="M162" s="275">
        <v>11148</v>
      </c>
      <c r="N162" s="275">
        <v>4272</v>
      </c>
      <c r="O162" s="275">
        <v>32309</v>
      </c>
      <c r="P162" s="275">
        <v>17364</v>
      </c>
      <c r="Q162" s="275">
        <v>8125</v>
      </c>
      <c r="R162" s="275">
        <v>12462</v>
      </c>
      <c r="S162" s="275">
        <v>19067</v>
      </c>
      <c r="T162" s="275">
        <v>13700</v>
      </c>
      <c r="U162" s="275">
        <v>184484</v>
      </c>
      <c r="V162" s="276">
        <v>-141</v>
      </c>
      <c r="W162" s="277">
        <v>184343</v>
      </c>
      <c r="X162" s="275">
        <v>227</v>
      </c>
      <c r="Y162" s="275">
        <v>22862</v>
      </c>
      <c r="Z162" s="276">
        <v>161395</v>
      </c>
      <c r="AA162" s="285">
        <v>5353</v>
      </c>
      <c r="AB162" s="295">
        <v>185664.74975059912</v>
      </c>
    </row>
    <row r="163" spans="1:28" ht="13.5" customHeight="1">
      <c r="A163" s="18" t="s">
        <v>5</v>
      </c>
      <c r="B163" s="19" t="s">
        <v>6</v>
      </c>
      <c r="C163" s="274">
        <v>5464</v>
      </c>
      <c r="D163" s="275">
        <v>26</v>
      </c>
      <c r="E163" s="275">
        <v>593</v>
      </c>
      <c r="F163" s="275">
        <v>221</v>
      </c>
      <c r="G163" s="275">
        <v>5474</v>
      </c>
      <c r="H163" s="275">
        <v>6255</v>
      </c>
      <c r="I163" s="275">
        <v>9844</v>
      </c>
      <c r="J163" s="275">
        <v>12049</v>
      </c>
      <c r="K163" s="275">
        <v>15945</v>
      </c>
      <c r="L163" s="275">
        <v>10826</v>
      </c>
      <c r="M163" s="275">
        <v>1471</v>
      </c>
      <c r="N163" s="275">
        <v>2417</v>
      </c>
      <c r="O163" s="275">
        <v>15947</v>
      </c>
      <c r="P163" s="275">
        <v>14318</v>
      </c>
      <c r="Q163" s="275">
        <v>18131</v>
      </c>
      <c r="R163" s="275">
        <v>8621</v>
      </c>
      <c r="S163" s="275">
        <v>11910</v>
      </c>
      <c r="T163" s="275">
        <v>6394</v>
      </c>
      <c r="U163" s="275">
        <v>145906</v>
      </c>
      <c r="V163" s="276">
        <v>-111</v>
      </c>
      <c r="W163" s="277">
        <v>145795</v>
      </c>
      <c r="X163" s="275">
        <v>6083</v>
      </c>
      <c r="Y163" s="275">
        <v>15539</v>
      </c>
      <c r="Z163" s="276">
        <v>124284</v>
      </c>
      <c r="AA163" s="285">
        <v>5515</v>
      </c>
      <c r="AB163" s="295">
        <v>148725.63870418587</v>
      </c>
    </row>
    <row r="164" spans="1:28" ht="13.5" customHeight="1">
      <c r="A164" s="18" t="s">
        <v>7</v>
      </c>
      <c r="B164" s="19" t="s">
        <v>8</v>
      </c>
      <c r="C164" s="274">
        <v>31</v>
      </c>
      <c r="D164" s="275">
        <v>2</v>
      </c>
      <c r="E164" s="275">
        <v>145</v>
      </c>
      <c r="F164" s="275">
        <v>132</v>
      </c>
      <c r="G164" s="275">
        <v>21479</v>
      </c>
      <c r="H164" s="275">
        <v>13105</v>
      </c>
      <c r="I164" s="275">
        <v>18524</v>
      </c>
      <c r="J164" s="275">
        <v>78888</v>
      </c>
      <c r="K164" s="275">
        <v>18324</v>
      </c>
      <c r="L164" s="275">
        <v>7368</v>
      </c>
      <c r="M164" s="275">
        <v>42824</v>
      </c>
      <c r="N164" s="275">
        <v>9304</v>
      </c>
      <c r="O164" s="275">
        <v>35882</v>
      </c>
      <c r="P164" s="275">
        <v>41918</v>
      </c>
      <c r="Q164" s="275">
        <v>13243</v>
      </c>
      <c r="R164" s="275">
        <v>16841</v>
      </c>
      <c r="S164" s="275">
        <v>36982</v>
      </c>
      <c r="T164" s="275">
        <v>16184</v>
      </c>
      <c r="U164" s="275">
        <v>371176</v>
      </c>
      <c r="V164" s="276">
        <v>-284</v>
      </c>
      <c r="W164" s="277">
        <v>370892</v>
      </c>
      <c r="X164" s="275">
        <v>178</v>
      </c>
      <c r="Y164" s="275">
        <v>40135</v>
      </c>
      <c r="Z164" s="276">
        <v>330863</v>
      </c>
      <c r="AA164" s="285">
        <v>6631</v>
      </c>
      <c r="AB164" s="295">
        <v>374111.29628192825</v>
      </c>
    </row>
    <row r="165" spans="1:28" ht="13.5" customHeight="1">
      <c r="A165" s="16" t="s">
        <v>9</v>
      </c>
      <c r="B165" s="17" t="s">
        <v>10</v>
      </c>
      <c r="C165" s="274">
        <v>3134</v>
      </c>
      <c r="D165" s="275">
        <v>86</v>
      </c>
      <c r="E165" s="275">
        <v>307</v>
      </c>
      <c r="F165" s="275">
        <v>835</v>
      </c>
      <c r="G165" s="275">
        <v>15523</v>
      </c>
      <c r="H165" s="275">
        <v>8071</v>
      </c>
      <c r="I165" s="275">
        <v>15735</v>
      </c>
      <c r="J165" s="275">
        <v>15720</v>
      </c>
      <c r="K165" s="275">
        <v>4632</v>
      </c>
      <c r="L165" s="275">
        <v>8904</v>
      </c>
      <c r="M165" s="275">
        <v>2226</v>
      </c>
      <c r="N165" s="275">
        <v>4241</v>
      </c>
      <c r="O165" s="275">
        <v>18101</v>
      </c>
      <c r="P165" s="275">
        <v>13118</v>
      </c>
      <c r="Q165" s="275">
        <v>13232</v>
      </c>
      <c r="R165" s="275">
        <v>13804</v>
      </c>
      <c r="S165" s="275">
        <v>32104</v>
      </c>
      <c r="T165" s="275">
        <v>8413</v>
      </c>
      <c r="U165" s="275">
        <v>178186</v>
      </c>
      <c r="V165" s="276">
        <v>-137</v>
      </c>
      <c r="W165" s="277">
        <v>178049</v>
      </c>
      <c r="X165" s="275">
        <v>3527</v>
      </c>
      <c r="Y165" s="275">
        <v>32093</v>
      </c>
      <c r="Z165" s="276">
        <v>142566</v>
      </c>
      <c r="AA165" s="285">
        <v>5564</v>
      </c>
      <c r="AB165" s="295">
        <v>179982.19847885848</v>
      </c>
    </row>
    <row r="166" spans="1:28" ht="13.5" customHeight="1">
      <c r="A166" s="18" t="s">
        <v>11</v>
      </c>
      <c r="B166" s="19" t="s">
        <v>12</v>
      </c>
      <c r="C166" s="274">
        <v>3618</v>
      </c>
      <c r="D166" s="275">
        <v>2</v>
      </c>
      <c r="E166" s="275">
        <v>451</v>
      </c>
      <c r="F166" s="275">
        <v>530</v>
      </c>
      <c r="G166" s="275">
        <v>18726</v>
      </c>
      <c r="H166" s="275">
        <v>3259</v>
      </c>
      <c r="I166" s="275">
        <v>10371</v>
      </c>
      <c r="J166" s="275">
        <v>11211</v>
      </c>
      <c r="K166" s="275">
        <v>4840</v>
      </c>
      <c r="L166" s="275">
        <v>4395</v>
      </c>
      <c r="M166" s="275">
        <v>422</v>
      </c>
      <c r="N166" s="275">
        <v>1597</v>
      </c>
      <c r="O166" s="275">
        <v>15663</v>
      </c>
      <c r="P166" s="275">
        <v>4741</v>
      </c>
      <c r="Q166" s="275">
        <v>7869</v>
      </c>
      <c r="R166" s="275">
        <v>7920</v>
      </c>
      <c r="S166" s="275">
        <v>19161</v>
      </c>
      <c r="T166" s="275">
        <v>7877</v>
      </c>
      <c r="U166" s="275">
        <v>122653</v>
      </c>
      <c r="V166" s="276">
        <v>-94</v>
      </c>
      <c r="W166" s="277">
        <v>122559</v>
      </c>
      <c r="X166" s="275">
        <v>4071</v>
      </c>
      <c r="Y166" s="275">
        <v>29627</v>
      </c>
      <c r="Z166" s="276">
        <v>88955</v>
      </c>
      <c r="AA166" s="285">
        <v>4520</v>
      </c>
      <c r="AB166" s="295">
        <v>124222.92574956515</v>
      </c>
    </row>
    <row r="167" spans="1:28" ht="13.5" customHeight="1">
      <c r="A167" s="18" t="s">
        <v>13</v>
      </c>
      <c r="B167" s="19" t="s">
        <v>14</v>
      </c>
      <c r="C167" s="274">
        <v>1332</v>
      </c>
      <c r="D167" s="275">
        <v>2</v>
      </c>
      <c r="E167" s="275">
        <v>244</v>
      </c>
      <c r="F167" s="275">
        <v>110</v>
      </c>
      <c r="G167" s="275">
        <v>12022</v>
      </c>
      <c r="H167" s="275">
        <v>7848</v>
      </c>
      <c r="I167" s="275">
        <v>26973</v>
      </c>
      <c r="J167" s="275">
        <v>23760</v>
      </c>
      <c r="K167" s="275">
        <v>8256</v>
      </c>
      <c r="L167" s="275">
        <v>12985</v>
      </c>
      <c r="M167" s="275">
        <v>3768</v>
      </c>
      <c r="N167" s="275">
        <v>9557</v>
      </c>
      <c r="O167" s="275">
        <v>44127</v>
      </c>
      <c r="P167" s="275">
        <v>27601</v>
      </c>
      <c r="Q167" s="275">
        <v>25038</v>
      </c>
      <c r="R167" s="275">
        <v>19539</v>
      </c>
      <c r="S167" s="275">
        <v>50346</v>
      </c>
      <c r="T167" s="275">
        <v>19508</v>
      </c>
      <c r="U167" s="275">
        <v>293016</v>
      </c>
      <c r="V167" s="276">
        <v>-224</v>
      </c>
      <c r="W167" s="277">
        <v>292792</v>
      </c>
      <c r="X167" s="275">
        <v>1578</v>
      </c>
      <c r="Y167" s="275">
        <v>39105</v>
      </c>
      <c r="Z167" s="276">
        <v>252333</v>
      </c>
      <c r="AA167" s="285">
        <v>5593</v>
      </c>
      <c r="AB167" s="295">
        <v>295134.2402341647</v>
      </c>
    </row>
    <row r="168" spans="1:28" ht="13.5" customHeight="1">
      <c r="A168" s="18" t="s">
        <v>15</v>
      </c>
      <c r="B168" s="19" t="s">
        <v>45</v>
      </c>
      <c r="C168" s="274">
        <v>1364</v>
      </c>
      <c r="D168" s="275">
        <v>4</v>
      </c>
      <c r="E168" s="275">
        <v>315</v>
      </c>
      <c r="F168" s="275">
        <v>93</v>
      </c>
      <c r="G168" s="275">
        <v>6516</v>
      </c>
      <c r="H168" s="275">
        <v>3267</v>
      </c>
      <c r="I168" s="275">
        <v>10052</v>
      </c>
      <c r="J168" s="275">
        <v>15677</v>
      </c>
      <c r="K168" s="275">
        <v>9639</v>
      </c>
      <c r="L168" s="275">
        <v>3336</v>
      </c>
      <c r="M168" s="275">
        <v>2599</v>
      </c>
      <c r="N168" s="275">
        <v>1446</v>
      </c>
      <c r="O168" s="275">
        <v>17737</v>
      </c>
      <c r="P168" s="275">
        <v>21730</v>
      </c>
      <c r="Q168" s="275">
        <v>5870</v>
      </c>
      <c r="R168" s="275">
        <v>6581</v>
      </c>
      <c r="S168" s="275">
        <v>23380</v>
      </c>
      <c r="T168" s="275">
        <v>6279</v>
      </c>
      <c r="U168" s="275">
        <v>135885</v>
      </c>
      <c r="V168" s="276">
        <v>-103</v>
      </c>
      <c r="W168" s="277">
        <v>135782</v>
      </c>
      <c r="X168" s="275">
        <v>1683</v>
      </c>
      <c r="Y168" s="275">
        <v>16661</v>
      </c>
      <c r="Z168" s="276">
        <v>117541</v>
      </c>
      <c r="AA168" s="285">
        <v>5873</v>
      </c>
      <c r="AB168" s="295">
        <v>137496.05563651552</v>
      </c>
    </row>
    <row r="169" spans="1:28" ht="13.5" customHeight="1">
      <c r="A169" s="18" t="s">
        <v>16</v>
      </c>
      <c r="B169" s="19" t="s">
        <v>46</v>
      </c>
      <c r="C169" s="274">
        <v>2536</v>
      </c>
      <c r="D169" s="275">
        <v>1</v>
      </c>
      <c r="E169" s="275">
        <v>677</v>
      </c>
      <c r="F169" s="275">
        <v>221</v>
      </c>
      <c r="G169" s="275">
        <v>20740</v>
      </c>
      <c r="H169" s="275">
        <v>25105</v>
      </c>
      <c r="I169" s="275">
        <v>25202</v>
      </c>
      <c r="J169" s="275">
        <v>22622</v>
      </c>
      <c r="K169" s="275">
        <v>10016</v>
      </c>
      <c r="L169" s="275">
        <v>6780</v>
      </c>
      <c r="M169" s="275">
        <v>15313</v>
      </c>
      <c r="N169" s="275">
        <v>4383</v>
      </c>
      <c r="O169" s="275">
        <v>37121</v>
      </c>
      <c r="P169" s="275">
        <v>18768</v>
      </c>
      <c r="Q169" s="275">
        <v>17753</v>
      </c>
      <c r="R169" s="275">
        <v>14044</v>
      </c>
      <c r="S169" s="275">
        <v>29215</v>
      </c>
      <c r="T169" s="275">
        <v>16046</v>
      </c>
      <c r="U169" s="275">
        <v>266543</v>
      </c>
      <c r="V169" s="276">
        <v>-204</v>
      </c>
      <c r="W169" s="277">
        <v>266339</v>
      </c>
      <c r="X169" s="275">
        <v>3214</v>
      </c>
      <c r="Y169" s="275">
        <v>46163</v>
      </c>
      <c r="Z169" s="276">
        <v>217166</v>
      </c>
      <c r="AA169" s="285">
        <v>6124</v>
      </c>
      <c r="AB169" s="295">
        <v>271807.00004489103</v>
      </c>
    </row>
    <row r="170" spans="1:28" ht="13.5" customHeight="1">
      <c r="A170" s="18">
        <v>10</v>
      </c>
      <c r="B170" s="19" t="s">
        <v>47</v>
      </c>
      <c r="C170" s="274">
        <v>8227</v>
      </c>
      <c r="D170" s="275">
        <v>44</v>
      </c>
      <c r="E170" s="275">
        <v>585</v>
      </c>
      <c r="F170" s="275">
        <v>185</v>
      </c>
      <c r="G170" s="275">
        <v>9077</v>
      </c>
      <c r="H170" s="275">
        <v>6220</v>
      </c>
      <c r="I170" s="275">
        <v>15694</v>
      </c>
      <c r="J170" s="275">
        <v>18389</v>
      </c>
      <c r="K170" s="275">
        <v>6976</v>
      </c>
      <c r="L170" s="275">
        <v>6660</v>
      </c>
      <c r="M170" s="275">
        <v>2025</v>
      </c>
      <c r="N170" s="275">
        <v>2245</v>
      </c>
      <c r="O170" s="275">
        <v>14587</v>
      </c>
      <c r="P170" s="275">
        <v>10404</v>
      </c>
      <c r="Q170" s="275">
        <v>16945</v>
      </c>
      <c r="R170" s="275">
        <v>10171</v>
      </c>
      <c r="S170" s="275">
        <v>18873</v>
      </c>
      <c r="T170" s="275">
        <v>5987</v>
      </c>
      <c r="U170" s="275">
        <v>153294</v>
      </c>
      <c r="V170" s="276">
        <v>-117</v>
      </c>
      <c r="W170" s="277">
        <v>153177</v>
      </c>
      <c r="X170" s="275">
        <v>8856</v>
      </c>
      <c r="Y170" s="275">
        <v>24956</v>
      </c>
      <c r="Z170" s="276">
        <v>119482</v>
      </c>
      <c r="AA170" s="285">
        <v>5595</v>
      </c>
      <c r="AB170" s="295">
        <v>155911.91842235034</v>
      </c>
    </row>
    <row r="171" spans="1:28" ht="13.5" customHeight="1">
      <c r="A171" s="20">
        <v>11</v>
      </c>
      <c r="B171" s="21" t="s">
        <v>48</v>
      </c>
      <c r="C171" s="278">
        <v>2906</v>
      </c>
      <c r="D171" s="279">
        <v>1</v>
      </c>
      <c r="E171" s="279">
        <v>513</v>
      </c>
      <c r="F171" s="279">
        <v>75</v>
      </c>
      <c r="G171" s="279">
        <v>7842</v>
      </c>
      <c r="H171" s="279">
        <v>2220</v>
      </c>
      <c r="I171" s="279">
        <v>8926</v>
      </c>
      <c r="J171" s="279">
        <v>4167</v>
      </c>
      <c r="K171" s="279">
        <v>3628</v>
      </c>
      <c r="L171" s="279">
        <v>1366</v>
      </c>
      <c r="M171" s="279">
        <v>37</v>
      </c>
      <c r="N171" s="279">
        <v>488</v>
      </c>
      <c r="O171" s="279">
        <v>10673</v>
      </c>
      <c r="P171" s="279">
        <v>1696</v>
      </c>
      <c r="Q171" s="279">
        <v>8810</v>
      </c>
      <c r="R171" s="279">
        <v>3251</v>
      </c>
      <c r="S171" s="279">
        <v>7664</v>
      </c>
      <c r="T171" s="279">
        <v>4136</v>
      </c>
      <c r="U171" s="279">
        <v>68399</v>
      </c>
      <c r="V171" s="280">
        <v>-52</v>
      </c>
      <c r="W171" s="281">
        <v>68347</v>
      </c>
      <c r="X171" s="279">
        <v>3420</v>
      </c>
      <c r="Y171" s="279">
        <v>16843</v>
      </c>
      <c r="Z171" s="280">
        <v>48136</v>
      </c>
      <c r="AA171" s="286">
        <v>4445</v>
      </c>
      <c r="AB171" s="296">
        <v>69446.162870116983</v>
      </c>
    </row>
    <row r="172" spans="1:28" ht="13.5" customHeight="1">
      <c r="A172" s="18">
        <v>12</v>
      </c>
      <c r="B172" s="19" t="s">
        <v>17</v>
      </c>
      <c r="C172" s="270">
        <v>1796</v>
      </c>
      <c r="D172" s="271">
        <v>94</v>
      </c>
      <c r="E172" s="271">
        <v>51</v>
      </c>
      <c r="F172" s="271">
        <v>157</v>
      </c>
      <c r="G172" s="271">
        <v>260</v>
      </c>
      <c r="H172" s="271">
        <v>369</v>
      </c>
      <c r="I172" s="271">
        <v>1617</v>
      </c>
      <c r="J172" s="271">
        <v>456</v>
      </c>
      <c r="K172" s="271">
        <v>335</v>
      </c>
      <c r="L172" s="271">
        <v>1195</v>
      </c>
      <c r="M172" s="271">
        <v>0</v>
      </c>
      <c r="N172" s="271">
        <v>145</v>
      </c>
      <c r="O172" s="271">
        <v>1110</v>
      </c>
      <c r="P172" s="271">
        <v>235</v>
      </c>
      <c r="Q172" s="271">
        <v>1443</v>
      </c>
      <c r="R172" s="271">
        <v>1006</v>
      </c>
      <c r="S172" s="271">
        <v>852</v>
      </c>
      <c r="T172" s="271">
        <v>517</v>
      </c>
      <c r="U172" s="271">
        <v>11638</v>
      </c>
      <c r="V172" s="272">
        <v>-9</v>
      </c>
      <c r="W172" s="273">
        <v>11629</v>
      </c>
      <c r="X172" s="271">
        <v>1941</v>
      </c>
      <c r="Y172" s="271">
        <v>2034</v>
      </c>
      <c r="Z172" s="272">
        <v>7663</v>
      </c>
      <c r="AA172" s="284">
        <v>3968</v>
      </c>
      <c r="AB172" s="294">
        <v>11936.507091896403</v>
      </c>
    </row>
    <row r="173" spans="1:28" ht="13.5" customHeight="1">
      <c r="A173" s="18">
        <v>13</v>
      </c>
      <c r="B173" s="19" t="s">
        <v>18</v>
      </c>
      <c r="C173" s="274">
        <v>1130</v>
      </c>
      <c r="D173" s="275">
        <v>8</v>
      </c>
      <c r="E173" s="275">
        <v>119</v>
      </c>
      <c r="F173" s="275">
        <v>0</v>
      </c>
      <c r="G173" s="275">
        <v>124</v>
      </c>
      <c r="H173" s="275">
        <v>193</v>
      </c>
      <c r="I173" s="275">
        <v>2326</v>
      </c>
      <c r="J173" s="275">
        <v>180</v>
      </c>
      <c r="K173" s="275">
        <v>364</v>
      </c>
      <c r="L173" s="275">
        <v>65</v>
      </c>
      <c r="M173" s="275">
        <v>0</v>
      </c>
      <c r="N173" s="275">
        <v>4</v>
      </c>
      <c r="O173" s="275">
        <v>747</v>
      </c>
      <c r="P173" s="275">
        <v>199</v>
      </c>
      <c r="Q173" s="275">
        <v>789</v>
      </c>
      <c r="R173" s="275">
        <v>862</v>
      </c>
      <c r="S173" s="275">
        <v>823</v>
      </c>
      <c r="T173" s="275">
        <v>265</v>
      </c>
      <c r="U173" s="275">
        <v>8198</v>
      </c>
      <c r="V173" s="276">
        <v>-6</v>
      </c>
      <c r="W173" s="277">
        <v>8192</v>
      </c>
      <c r="X173" s="275">
        <v>1257</v>
      </c>
      <c r="Y173" s="275">
        <v>2450</v>
      </c>
      <c r="Z173" s="276">
        <v>4491</v>
      </c>
      <c r="AA173" s="285">
        <v>4805</v>
      </c>
      <c r="AB173" s="295">
        <v>8453.6202154176444</v>
      </c>
    </row>
    <row r="174" spans="1:28" ht="13.5" customHeight="1">
      <c r="A174" s="18">
        <v>14</v>
      </c>
      <c r="B174" s="19" t="s">
        <v>19</v>
      </c>
      <c r="C174" s="274">
        <v>957</v>
      </c>
      <c r="D174" s="275">
        <v>5</v>
      </c>
      <c r="E174" s="275">
        <v>25</v>
      </c>
      <c r="F174" s="275">
        <v>0</v>
      </c>
      <c r="G174" s="275">
        <v>291</v>
      </c>
      <c r="H174" s="275">
        <v>28</v>
      </c>
      <c r="I174" s="275">
        <v>2068</v>
      </c>
      <c r="J174" s="275">
        <v>101</v>
      </c>
      <c r="K174" s="275">
        <v>55</v>
      </c>
      <c r="L174" s="275">
        <v>144</v>
      </c>
      <c r="M174" s="275">
        <v>0</v>
      </c>
      <c r="N174" s="275">
        <v>8</v>
      </c>
      <c r="O174" s="275">
        <v>356</v>
      </c>
      <c r="P174" s="275">
        <v>808</v>
      </c>
      <c r="Q174" s="275">
        <v>695</v>
      </c>
      <c r="R174" s="275">
        <v>667</v>
      </c>
      <c r="S174" s="275">
        <v>243</v>
      </c>
      <c r="T174" s="275">
        <v>266</v>
      </c>
      <c r="U174" s="275">
        <v>6717</v>
      </c>
      <c r="V174" s="276">
        <v>-5</v>
      </c>
      <c r="W174" s="277">
        <v>6712</v>
      </c>
      <c r="X174" s="275">
        <v>987</v>
      </c>
      <c r="Y174" s="275">
        <v>2359</v>
      </c>
      <c r="Z174" s="276">
        <v>3371</v>
      </c>
      <c r="AA174" s="285">
        <v>5323</v>
      </c>
      <c r="AB174" s="295">
        <v>6882.7363866030009</v>
      </c>
    </row>
    <row r="175" spans="1:28" ht="13.5" customHeight="1">
      <c r="A175" s="18">
        <v>15</v>
      </c>
      <c r="B175" s="19" t="s">
        <v>20</v>
      </c>
      <c r="C175" s="274">
        <v>1713</v>
      </c>
      <c r="D175" s="275">
        <v>10</v>
      </c>
      <c r="E175" s="275">
        <v>68</v>
      </c>
      <c r="F175" s="275">
        <v>0</v>
      </c>
      <c r="G175" s="275">
        <v>1623</v>
      </c>
      <c r="H175" s="275">
        <v>503</v>
      </c>
      <c r="I175" s="275">
        <v>1718</v>
      </c>
      <c r="J175" s="275">
        <v>587</v>
      </c>
      <c r="K175" s="275">
        <v>380</v>
      </c>
      <c r="L175" s="275">
        <v>853</v>
      </c>
      <c r="M175" s="275">
        <v>27</v>
      </c>
      <c r="N175" s="275">
        <v>74</v>
      </c>
      <c r="O175" s="275">
        <v>1945</v>
      </c>
      <c r="P175" s="275">
        <v>655</v>
      </c>
      <c r="Q175" s="275">
        <v>1203</v>
      </c>
      <c r="R175" s="275">
        <v>1148</v>
      </c>
      <c r="S175" s="275">
        <v>1839</v>
      </c>
      <c r="T175" s="275">
        <v>1293</v>
      </c>
      <c r="U175" s="275">
        <v>15639</v>
      </c>
      <c r="V175" s="276">
        <v>-12</v>
      </c>
      <c r="W175" s="277">
        <v>15627</v>
      </c>
      <c r="X175" s="275">
        <v>1791</v>
      </c>
      <c r="Y175" s="275">
        <v>3341</v>
      </c>
      <c r="Z175" s="276">
        <v>10507</v>
      </c>
      <c r="AA175" s="285">
        <v>3516</v>
      </c>
      <c r="AB175" s="295">
        <v>15984.921323705663</v>
      </c>
    </row>
    <row r="176" spans="1:28" ht="13.5" customHeight="1">
      <c r="A176" s="18">
        <v>16</v>
      </c>
      <c r="B176" s="19" t="s">
        <v>21</v>
      </c>
      <c r="C176" s="274">
        <v>1090</v>
      </c>
      <c r="D176" s="275">
        <v>2</v>
      </c>
      <c r="E176" s="275">
        <v>558</v>
      </c>
      <c r="F176" s="275">
        <v>627</v>
      </c>
      <c r="G176" s="275">
        <v>1354</v>
      </c>
      <c r="H176" s="275">
        <v>1171</v>
      </c>
      <c r="I176" s="275">
        <v>3691</v>
      </c>
      <c r="J176" s="275">
        <v>1685</v>
      </c>
      <c r="K176" s="275">
        <v>1201</v>
      </c>
      <c r="L176" s="275">
        <v>2705</v>
      </c>
      <c r="M176" s="275">
        <v>0</v>
      </c>
      <c r="N176" s="275">
        <v>493</v>
      </c>
      <c r="O176" s="275">
        <v>3556</v>
      </c>
      <c r="P176" s="275">
        <v>1747</v>
      </c>
      <c r="Q176" s="275">
        <v>2119</v>
      </c>
      <c r="R176" s="275">
        <v>1890</v>
      </c>
      <c r="S176" s="275">
        <v>4559</v>
      </c>
      <c r="T176" s="275">
        <v>5264</v>
      </c>
      <c r="U176" s="275">
        <v>33712</v>
      </c>
      <c r="V176" s="276">
        <v>-25</v>
      </c>
      <c r="W176" s="277">
        <v>33687</v>
      </c>
      <c r="X176" s="275">
        <v>1650</v>
      </c>
      <c r="Y176" s="275">
        <v>5672</v>
      </c>
      <c r="Z176" s="276">
        <v>26390</v>
      </c>
      <c r="AA176" s="285">
        <v>4206</v>
      </c>
      <c r="AB176" s="295">
        <v>34254.372201300306</v>
      </c>
    </row>
    <row r="177" spans="1:28" ht="13.5" customHeight="1">
      <c r="A177" s="18">
        <v>17</v>
      </c>
      <c r="B177" s="19" t="s">
        <v>22</v>
      </c>
      <c r="C177" s="274">
        <v>771</v>
      </c>
      <c r="D177" s="275">
        <v>12</v>
      </c>
      <c r="E177" s="275">
        <v>288</v>
      </c>
      <c r="F177" s="275">
        <v>53</v>
      </c>
      <c r="G177" s="275">
        <v>541</v>
      </c>
      <c r="H177" s="275">
        <v>619</v>
      </c>
      <c r="I177" s="275">
        <v>5168</v>
      </c>
      <c r="J177" s="275">
        <v>1499</v>
      </c>
      <c r="K177" s="275">
        <v>973</v>
      </c>
      <c r="L177" s="275">
        <v>10135</v>
      </c>
      <c r="M177" s="275">
        <v>139</v>
      </c>
      <c r="N177" s="275">
        <v>128</v>
      </c>
      <c r="O177" s="275">
        <v>4450</v>
      </c>
      <c r="P177" s="275">
        <v>3714</v>
      </c>
      <c r="Q177" s="275">
        <v>3399</v>
      </c>
      <c r="R177" s="275">
        <v>5888</v>
      </c>
      <c r="S177" s="275">
        <v>1964</v>
      </c>
      <c r="T177" s="275">
        <v>3995</v>
      </c>
      <c r="U177" s="275">
        <v>43736</v>
      </c>
      <c r="V177" s="276">
        <v>-33</v>
      </c>
      <c r="W177" s="277">
        <v>43703</v>
      </c>
      <c r="X177" s="275">
        <v>1071</v>
      </c>
      <c r="Y177" s="275">
        <v>5762</v>
      </c>
      <c r="Z177" s="276">
        <v>36903</v>
      </c>
      <c r="AA177" s="285">
        <v>4470</v>
      </c>
      <c r="AB177" s="295">
        <v>44393.772974985834</v>
      </c>
    </row>
    <row r="178" spans="1:28" ht="13.5" customHeight="1">
      <c r="A178" s="18">
        <v>18</v>
      </c>
      <c r="B178" s="19" t="s">
        <v>23</v>
      </c>
      <c r="C178" s="274">
        <v>747</v>
      </c>
      <c r="D178" s="275">
        <v>1</v>
      </c>
      <c r="E178" s="275">
        <v>174</v>
      </c>
      <c r="F178" s="275">
        <v>18</v>
      </c>
      <c r="G178" s="275">
        <v>178</v>
      </c>
      <c r="H178" s="275">
        <v>487</v>
      </c>
      <c r="I178" s="275">
        <v>1752</v>
      </c>
      <c r="J178" s="275">
        <v>446</v>
      </c>
      <c r="K178" s="275">
        <v>1495</v>
      </c>
      <c r="L178" s="275">
        <v>300</v>
      </c>
      <c r="M178" s="275">
        <v>1705</v>
      </c>
      <c r="N178" s="275">
        <v>34</v>
      </c>
      <c r="O178" s="275">
        <v>1467</v>
      </c>
      <c r="P178" s="275">
        <v>1312</v>
      </c>
      <c r="Q178" s="275">
        <v>1415</v>
      </c>
      <c r="R178" s="275">
        <v>1141</v>
      </c>
      <c r="S178" s="275">
        <v>2051</v>
      </c>
      <c r="T178" s="275">
        <v>852</v>
      </c>
      <c r="U178" s="275">
        <v>15575</v>
      </c>
      <c r="V178" s="276">
        <v>-12</v>
      </c>
      <c r="W178" s="277">
        <v>15563</v>
      </c>
      <c r="X178" s="275">
        <v>922</v>
      </c>
      <c r="Y178" s="275">
        <v>1948</v>
      </c>
      <c r="Z178" s="276">
        <v>12705</v>
      </c>
      <c r="AA178" s="285">
        <v>5602</v>
      </c>
      <c r="AB178" s="295">
        <v>15836.709072075495</v>
      </c>
    </row>
    <row r="179" spans="1:28" ht="13.5" customHeight="1">
      <c r="A179" s="18">
        <v>19</v>
      </c>
      <c r="B179" s="19" t="s">
        <v>24</v>
      </c>
      <c r="C179" s="274">
        <v>805</v>
      </c>
      <c r="D179" s="275">
        <v>0</v>
      </c>
      <c r="E179" s="275">
        <v>73</v>
      </c>
      <c r="F179" s="275">
        <v>18</v>
      </c>
      <c r="G179" s="275">
        <v>578</v>
      </c>
      <c r="H179" s="275">
        <v>11293</v>
      </c>
      <c r="I179" s="275">
        <v>3556</v>
      </c>
      <c r="J179" s="275">
        <v>1066</v>
      </c>
      <c r="K179" s="275">
        <v>2122</v>
      </c>
      <c r="L179" s="275">
        <v>1110</v>
      </c>
      <c r="M179" s="275">
        <v>304</v>
      </c>
      <c r="N179" s="275">
        <v>276</v>
      </c>
      <c r="O179" s="275">
        <v>3750</v>
      </c>
      <c r="P179" s="275">
        <v>451</v>
      </c>
      <c r="Q179" s="275">
        <v>2043</v>
      </c>
      <c r="R179" s="275">
        <v>1391</v>
      </c>
      <c r="S179" s="275">
        <v>4549</v>
      </c>
      <c r="T179" s="275">
        <v>1206</v>
      </c>
      <c r="U179" s="275">
        <v>34591</v>
      </c>
      <c r="V179" s="276">
        <v>-27</v>
      </c>
      <c r="W179" s="277">
        <v>34564</v>
      </c>
      <c r="X179" s="275">
        <v>878</v>
      </c>
      <c r="Y179" s="275">
        <v>4152</v>
      </c>
      <c r="Z179" s="276">
        <v>29561</v>
      </c>
      <c r="AA179" s="285">
        <v>6215</v>
      </c>
      <c r="AB179" s="295">
        <v>36936.71909631203</v>
      </c>
    </row>
    <row r="180" spans="1:28" ht="13.5" customHeight="1">
      <c r="A180" s="20">
        <v>20</v>
      </c>
      <c r="B180" s="21" t="s">
        <v>25</v>
      </c>
      <c r="C180" s="278">
        <v>1923</v>
      </c>
      <c r="D180" s="279">
        <v>1</v>
      </c>
      <c r="E180" s="279">
        <v>129</v>
      </c>
      <c r="F180" s="279">
        <v>0</v>
      </c>
      <c r="G180" s="279">
        <v>575</v>
      </c>
      <c r="H180" s="279">
        <v>278</v>
      </c>
      <c r="I180" s="279">
        <v>2623</v>
      </c>
      <c r="J180" s="279">
        <v>655</v>
      </c>
      <c r="K180" s="279">
        <v>500</v>
      </c>
      <c r="L180" s="279">
        <v>495</v>
      </c>
      <c r="M180" s="279">
        <v>47</v>
      </c>
      <c r="N180" s="279">
        <v>18</v>
      </c>
      <c r="O180" s="279">
        <v>1152</v>
      </c>
      <c r="P180" s="279">
        <v>235</v>
      </c>
      <c r="Q180" s="279">
        <v>1209</v>
      </c>
      <c r="R180" s="279">
        <v>560</v>
      </c>
      <c r="S180" s="279">
        <v>770</v>
      </c>
      <c r="T180" s="279">
        <v>599</v>
      </c>
      <c r="U180" s="279">
        <v>11769</v>
      </c>
      <c r="V180" s="280">
        <v>-9</v>
      </c>
      <c r="W180" s="281">
        <v>11760</v>
      </c>
      <c r="X180" s="279">
        <v>2053</v>
      </c>
      <c r="Y180" s="279">
        <v>3198</v>
      </c>
      <c r="Z180" s="280">
        <v>6518</v>
      </c>
      <c r="AA180" s="286">
        <v>4223</v>
      </c>
      <c r="AB180" s="296">
        <v>12102.921663327987</v>
      </c>
    </row>
    <row r="181" spans="1:28" ht="13.5" customHeight="1">
      <c r="A181" s="18">
        <v>21</v>
      </c>
      <c r="B181" s="19" t="s">
        <v>26</v>
      </c>
      <c r="C181" s="270">
        <v>1112</v>
      </c>
      <c r="D181" s="271">
        <v>5</v>
      </c>
      <c r="E181" s="271">
        <v>107</v>
      </c>
      <c r="F181" s="271">
        <v>110</v>
      </c>
      <c r="G181" s="271">
        <v>4919</v>
      </c>
      <c r="H181" s="271">
        <v>1726</v>
      </c>
      <c r="I181" s="271">
        <v>5761</v>
      </c>
      <c r="J181" s="271">
        <v>3633</v>
      </c>
      <c r="K181" s="271">
        <v>795</v>
      </c>
      <c r="L181" s="271">
        <v>2521</v>
      </c>
      <c r="M181" s="271">
        <v>26</v>
      </c>
      <c r="N181" s="271">
        <v>629</v>
      </c>
      <c r="O181" s="271">
        <v>13380</v>
      </c>
      <c r="P181" s="271">
        <v>1768</v>
      </c>
      <c r="Q181" s="271">
        <v>3029</v>
      </c>
      <c r="R181" s="271">
        <v>3783</v>
      </c>
      <c r="S181" s="271">
        <v>5406</v>
      </c>
      <c r="T181" s="271">
        <v>5891</v>
      </c>
      <c r="U181" s="271">
        <v>54601</v>
      </c>
      <c r="V181" s="272">
        <v>-42</v>
      </c>
      <c r="W181" s="273">
        <v>54559</v>
      </c>
      <c r="X181" s="271">
        <v>1224</v>
      </c>
      <c r="Y181" s="271">
        <v>10790</v>
      </c>
      <c r="Z181" s="272">
        <v>42587</v>
      </c>
      <c r="AA181" s="284">
        <v>4424</v>
      </c>
      <c r="AB181" s="294">
        <v>55193.629124143408</v>
      </c>
    </row>
    <row r="182" spans="1:28" ht="13.5" customHeight="1">
      <c r="A182" s="18">
        <v>22</v>
      </c>
      <c r="B182" s="19" t="s">
        <v>27</v>
      </c>
      <c r="C182" s="274">
        <v>53</v>
      </c>
      <c r="D182" s="275">
        <v>0</v>
      </c>
      <c r="E182" s="275">
        <v>5</v>
      </c>
      <c r="F182" s="275">
        <v>4</v>
      </c>
      <c r="G182" s="275">
        <v>816</v>
      </c>
      <c r="H182" s="275">
        <v>806</v>
      </c>
      <c r="I182" s="275">
        <v>2406</v>
      </c>
      <c r="J182" s="275">
        <v>1645</v>
      </c>
      <c r="K182" s="275">
        <v>397</v>
      </c>
      <c r="L182" s="275">
        <v>1117</v>
      </c>
      <c r="M182" s="275">
        <v>742</v>
      </c>
      <c r="N182" s="275">
        <v>1207</v>
      </c>
      <c r="O182" s="275">
        <v>4042</v>
      </c>
      <c r="P182" s="275">
        <v>2453</v>
      </c>
      <c r="Q182" s="275">
        <v>9737</v>
      </c>
      <c r="R182" s="275">
        <v>1788</v>
      </c>
      <c r="S182" s="275">
        <v>3776</v>
      </c>
      <c r="T182" s="275">
        <v>1717</v>
      </c>
      <c r="U182" s="275">
        <v>32711</v>
      </c>
      <c r="V182" s="276">
        <v>-25</v>
      </c>
      <c r="W182" s="277">
        <v>32686</v>
      </c>
      <c r="X182" s="275">
        <v>58</v>
      </c>
      <c r="Y182" s="275">
        <v>3226</v>
      </c>
      <c r="Z182" s="276">
        <v>29427</v>
      </c>
      <c r="AA182" s="285">
        <v>4205</v>
      </c>
      <c r="AB182" s="295">
        <v>32859.377297548759</v>
      </c>
    </row>
    <row r="183" spans="1:28" ht="13.5" customHeight="1">
      <c r="A183" s="18">
        <v>23</v>
      </c>
      <c r="B183" s="19" t="s">
        <v>28</v>
      </c>
      <c r="C183" s="274">
        <v>1</v>
      </c>
      <c r="D183" s="275">
        <v>0</v>
      </c>
      <c r="E183" s="275">
        <v>64</v>
      </c>
      <c r="F183" s="275">
        <v>14</v>
      </c>
      <c r="G183" s="275">
        <v>512</v>
      </c>
      <c r="H183" s="275">
        <v>5204</v>
      </c>
      <c r="I183" s="275">
        <v>9779</v>
      </c>
      <c r="J183" s="275">
        <v>8164</v>
      </c>
      <c r="K183" s="275">
        <v>739</v>
      </c>
      <c r="L183" s="275">
        <v>5330</v>
      </c>
      <c r="M183" s="275">
        <v>2865</v>
      </c>
      <c r="N183" s="275">
        <v>2326</v>
      </c>
      <c r="O183" s="275">
        <v>14322</v>
      </c>
      <c r="P183" s="275">
        <v>6394</v>
      </c>
      <c r="Q183" s="275">
        <v>2745</v>
      </c>
      <c r="R183" s="275">
        <v>2846</v>
      </c>
      <c r="S183" s="275">
        <v>5306</v>
      </c>
      <c r="T183" s="275">
        <v>6090</v>
      </c>
      <c r="U183" s="275">
        <v>72701</v>
      </c>
      <c r="V183" s="276">
        <v>-56</v>
      </c>
      <c r="W183" s="277">
        <v>72645</v>
      </c>
      <c r="X183" s="275">
        <v>65</v>
      </c>
      <c r="Y183" s="275">
        <v>10305</v>
      </c>
      <c r="Z183" s="276">
        <v>62331</v>
      </c>
      <c r="AA183" s="285">
        <v>5349</v>
      </c>
      <c r="AB183" s="295">
        <v>73270.764444209199</v>
      </c>
    </row>
    <row r="184" spans="1:28" ht="13.5" customHeight="1">
      <c r="A184" s="18">
        <v>24</v>
      </c>
      <c r="B184" s="19" t="s">
        <v>29</v>
      </c>
      <c r="C184" s="274">
        <v>33</v>
      </c>
      <c r="D184" s="275">
        <v>0</v>
      </c>
      <c r="E184" s="275">
        <v>89</v>
      </c>
      <c r="F184" s="275">
        <v>4</v>
      </c>
      <c r="G184" s="275">
        <v>273</v>
      </c>
      <c r="H184" s="275">
        <v>617</v>
      </c>
      <c r="I184" s="275">
        <v>2351</v>
      </c>
      <c r="J184" s="275">
        <v>2492</v>
      </c>
      <c r="K184" s="275">
        <v>1007</v>
      </c>
      <c r="L184" s="275">
        <v>1868</v>
      </c>
      <c r="M184" s="275">
        <v>627</v>
      </c>
      <c r="N184" s="275">
        <v>526</v>
      </c>
      <c r="O184" s="275">
        <v>5829</v>
      </c>
      <c r="P184" s="275">
        <v>1997</v>
      </c>
      <c r="Q184" s="275">
        <v>1375</v>
      </c>
      <c r="R184" s="275">
        <v>3448</v>
      </c>
      <c r="S184" s="275">
        <v>5910</v>
      </c>
      <c r="T184" s="275">
        <v>1667</v>
      </c>
      <c r="U184" s="275">
        <v>30113</v>
      </c>
      <c r="V184" s="276">
        <v>-23</v>
      </c>
      <c r="W184" s="277">
        <v>30090</v>
      </c>
      <c r="X184" s="275">
        <v>122</v>
      </c>
      <c r="Y184" s="275">
        <v>2628</v>
      </c>
      <c r="Z184" s="276">
        <v>27363</v>
      </c>
      <c r="AA184" s="285">
        <v>4249</v>
      </c>
      <c r="AB184" s="295">
        <v>30344.162313014622</v>
      </c>
    </row>
    <row r="185" spans="1:28" ht="13.5" customHeight="1">
      <c r="A185" s="18">
        <v>25</v>
      </c>
      <c r="B185" s="19" t="s">
        <v>30</v>
      </c>
      <c r="C185" s="274">
        <v>275</v>
      </c>
      <c r="D185" s="275">
        <v>0</v>
      </c>
      <c r="E185" s="275">
        <v>18</v>
      </c>
      <c r="F185" s="275">
        <v>189</v>
      </c>
      <c r="G185" s="275">
        <v>4202</v>
      </c>
      <c r="H185" s="275">
        <v>14453</v>
      </c>
      <c r="I185" s="275">
        <v>4206</v>
      </c>
      <c r="J185" s="275">
        <v>3266</v>
      </c>
      <c r="K185" s="275">
        <v>1163</v>
      </c>
      <c r="L185" s="275">
        <v>650</v>
      </c>
      <c r="M185" s="275">
        <v>1051</v>
      </c>
      <c r="N185" s="275">
        <v>323</v>
      </c>
      <c r="O185" s="275">
        <v>6104</v>
      </c>
      <c r="P185" s="275">
        <v>1806</v>
      </c>
      <c r="Q185" s="275">
        <v>1381</v>
      </c>
      <c r="R185" s="275">
        <v>1585</v>
      </c>
      <c r="S185" s="275">
        <v>8065</v>
      </c>
      <c r="T185" s="275">
        <v>2955</v>
      </c>
      <c r="U185" s="275">
        <v>51692</v>
      </c>
      <c r="V185" s="276">
        <v>-40</v>
      </c>
      <c r="W185" s="277">
        <v>51652</v>
      </c>
      <c r="X185" s="275">
        <v>293</v>
      </c>
      <c r="Y185" s="275">
        <v>8597</v>
      </c>
      <c r="Z185" s="276">
        <v>42802</v>
      </c>
      <c r="AA185" s="285">
        <v>6574</v>
      </c>
      <c r="AB185" s="295">
        <v>54379.194781484373</v>
      </c>
    </row>
    <row r="186" spans="1:28" ht="13.5" customHeight="1">
      <c r="A186" s="20">
        <v>26</v>
      </c>
      <c r="B186" s="21" t="s">
        <v>31</v>
      </c>
      <c r="C186" s="278">
        <v>220</v>
      </c>
      <c r="D186" s="279">
        <v>1</v>
      </c>
      <c r="E186" s="279">
        <v>67</v>
      </c>
      <c r="F186" s="279">
        <v>11</v>
      </c>
      <c r="G186" s="279">
        <v>3073</v>
      </c>
      <c r="H186" s="279">
        <v>4799</v>
      </c>
      <c r="I186" s="279">
        <v>4608</v>
      </c>
      <c r="J186" s="279">
        <v>13687</v>
      </c>
      <c r="K186" s="279">
        <v>4809</v>
      </c>
      <c r="L186" s="279">
        <v>1858</v>
      </c>
      <c r="M186" s="279">
        <v>362</v>
      </c>
      <c r="N186" s="279">
        <v>849</v>
      </c>
      <c r="O186" s="279">
        <v>9262</v>
      </c>
      <c r="P186" s="279">
        <v>3869</v>
      </c>
      <c r="Q186" s="279">
        <v>2471</v>
      </c>
      <c r="R186" s="279">
        <v>21022</v>
      </c>
      <c r="S186" s="279">
        <v>14686</v>
      </c>
      <c r="T186" s="279">
        <v>4525</v>
      </c>
      <c r="U186" s="279">
        <v>90179</v>
      </c>
      <c r="V186" s="280">
        <v>-69</v>
      </c>
      <c r="W186" s="281">
        <v>90110</v>
      </c>
      <c r="X186" s="279">
        <v>288</v>
      </c>
      <c r="Y186" s="279">
        <v>7692</v>
      </c>
      <c r="Z186" s="280">
        <v>82199</v>
      </c>
      <c r="AA186" s="286">
        <v>4344</v>
      </c>
      <c r="AB186" s="296">
        <v>91176.870919428693</v>
      </c>
    </row>
    <row r="187" spans="1:28" ht="13.5" customHeight="1">
      <c r="A187" s="18">
        <v>27</v>
      </c>
      <c r="B187" s="19" t="s">
        <v>32</v>
      </c>
      <c r="C187" s="270">
        <v>218</v>
      </c>
      <c r="D187" s="271">
        <v>0</v>
      </c>
      <c r="E187" s="271">
        <v>170</v>
      </c>
      <c r="F187" s="271">
        <v>0</v>
      </c>
      <c r="G187" s="271">
        <v>688</v>
      </c>
      <c r="H187" s="271">
        <v>600</v>
      </c>
      <c r="I187" s="271">
        <v>3070</v>
      </c>
      <c r="J187" s="271">
        <v>4654</v>
      </c>
      <c r="K187" s="271">
        <v>688</v>
      </c>
      <c r="L187" s="271">
        <v>1205</v>
      </c>
      <c r="M187" s="271">
        <v>438</v>
      </c>
      <c r="N187" s="271">
        <v>1777</v>
      </c>
      <c r="O187" s="271">
        <v>5661</v>
      </c>
      <c r="P187" s="271">
        <v>1117</v>
      </c>
      <c r="Q187" s="271">
        <v>2813</v>
      </c>
      <c r="R187" s="271">
        <v>2382</v>
      </c>
      <c r="S187" s="271">
        <v>5911</v>
      </c>
      <c r="T187" s="271">
        <v>1639</v>
      </c>
      <c r="U187" s="271">
        <v>33031</v>
      </c>
      <c r="V187" s="272">
        <v>-25</v>
      </c>
      <c r="W187" s="273">
        <v>33006</v>
      </c>
      <c r="X187" s="271">
        <v>388</v>
      </c>
      <c r="Y187" s="271">
        <v>3758</v>
      </c>
      <c r="Z187" s="272">
        <v>28885</v>
      </c>
      <c r="AA187" s="284">
        <v>5106</v>
      </c>
      <c r="AB187" s="294">
        <v>33198.54913645699</v>
      </c>
    </row>
    <row r="188" spans="1:28" ht="13.5" customHeight="1">
      <c r="A188" s="18">
        <v>28</v>
      </c>
      <c r="B188" s="19" t="s">
        <v>33</v>
      </c>
      <c r="C188" s="274">
        <v>719</v>
      </c>
      <c r="D188" s="275">
        <v>7</v>
      </c>
      <c r="E188" s="275">
        <v>0</v>
      </c>
      <c r="F188" s="275">
        <v>18</v>
      </c>
      <c r="G188" s="275">
        <v>3497</v>
      </c>
      <c r="H188" s="275">
        <v>2159</v>
      </c>
      <c r="I188" s="275">
        <v>8416</v>
      </c>
      <c r="J188" s="275">
        <v>12536</v>
      </c>
      <c r="K188" s="275">
        <v>2761</v>
      </c>
      <c r="L188" s="275">
        <v>2556</v>
      </c>
      <c r="M188" s="275">
        <v>183</v>
      </c>
      <c r="N188" s="275">
        <v>1224</v>
      </c>
      <c r="O188" s="275">
        <v>10841</v>
      </c>
      <c r="P188" s="275">
        <v>3742</v>
      </c>
      <c r="Q188" s="275">
        <v>2908</v>
      </c>
      <c r="R188" s="275">
        <v>4990</v>
      </c>
      <c r="S188" s="275">
        <v>22403</v>
      </c>
      <c r="T188" s="275">
        <v>6666</v>
      </c>
      <c r="U188" s="275">
        <v>85626</v>
      </c>
      <c r="V188" s="276">
        <v>-66</v>
      </c>
      <c r="W188" s="277">
        <v>85560</v>
      </c>
      <c r="X188" s="275">
        <v>726</v>
      </c>
      <c r="Y188" s="275">
        <v>11931</v>
      </c>
      <c r="Z188" s="276">
        <v>72969</v>
      </c>
      <c r="AA188" s="285">
        <v>4908</v>
      </c>
      <c r="AB188" s="295">
        <v>86144.63251914666</v>
      </c>
    </row>
    <row r="189" spans="1:28" ht="13.5" customHeight="1">
      <c r="A189" s="18">
        <v>29</v>
      </c>
      <c r="B189" s="19" t="s">
        <v>34</v>
      </c>
      <c r="C189" s="274">
        <v>3</v>
      </c>
      <c r="D189" s="275">
        <v>4</v>
      </c>
      <c r="E189" s="275">
        <v>17</v>
      </c>
      <c r="F189" s="275">
        <v>0</v>
      </c>
      <c r="G189" s="275">
        <v>45</v>
      </c>
      <c r="H189" s="275">
        <v>157</v>
      </c>
      <c r="I189" s="275">
        <v>352</v>
      </c>
      <c r="J189" s="275">
        <v>27</v>
      </c>
      <c r="K189" s="275">
        <v>265</v>
      </c>
      <c r="L189" s="275">
        <v>422</v>
      </c>
      <c r="M189" s="275">
        <v>0</v>
      </c>
      <c r="N189" s="275">
        <v>5</v>
      </c>
      <c r="O189" s="275">
        <v>108</v>
      </c>
      <c r="P189" s="275">
        <v>46</v>
      </c>
      <c r="Q189" s="275">
        <v>435</v>
      </c>
      <c r="R189" s="275">
        <v>299</v>
      </c>
      <c r="S189" s="275">
        <v>148</v>
      </c>
      <c r="T189" s="275">
        <v>605</v>
      </c>
      <c r="U189" s="275">
        <v>2938</v>
      </c>
      <c r="V189" s="276">
        <v>-3</v>
      </c>
      <c r="W189" s="277">
        <v>2935</v>
      </c>
      <c r="X189" s="275">
        <v>24</v>
      </c>
      <c r="Y189" s="275">
        <v>397</v>
      </c>
      <c r="Z189" s="276">
        <v>2517</v>
      </c>
      <c r="AA189" s="285">
        <v>5078</v>
      </c>
      <c r="AB189" s="295">
        <v>3000.0728560879988</v>
      </c>
    </row>
    <row r="190" spans="1:28" ht="13.5" customHeight="1">
      <c r="A190" s="18">
        <v>30</v>
      </c>
      <c r="B190" s="19" t="s">
        <v>35</v>
      </c>
      <c r="C190" s="274">
        <v>2</v>
      </c>
      <c r="D190" s="275">
        <v>0</v>
      </c>
      <c r="E190" s="275">
        <v>35</v>
      </c>
      <c r="F190" s="275">
        <v>0</v>
      </c>
      <c r="G190" s="275">
        <v>35</v>
      </c>
      <c r="H190" s="275">
        <v>127</v>
      </c>
      <c r="I190" s="275">
        <v>887</v>
      </c>
      <c r="J190" s="275">
        <v>94</v>
      </c>
      <c r="K190" s="275">
        <v>176</v>
      </c>
      <c r="L190" s="275">
        <v>599</v>
      </c>
      <c r="M190" s="275">
        <v>0</v>
      </c>
      <c r="N190" s="275">
        <v>8</v>
      </c>
      <c r="O190" s="275">
        <v>198</v>
      </c>
      <c r="P190" s="275">
        <v>152</v>
      </c>
      <c r="Q190" s="275">
        <v>460</v>
      </c>
      <c r="R190" s="275">
        <v>503</v>
      </c>
      <c r="S190" s="275">
        <v>208</v>
      </c>
      <c r="T190" s="275">
        <v>785</v>
      </c>
      <c r="U190" s="275">
        <v>4269</v>
      </c>
      <c r="V190" s="276">
        <v>-4</v>
      </c>
      <c r="W190" s="277">
        <v>4265</v>
      </c>
      <c r="X190" s="275">
        <v>37</v>
      </c>
      <c r="Y190" s="275">
        <v>922</v>
      </c>
      <c r="Z190" s="276">
        <v>3310</v>
      </c>
      <c r="AA190" s="285">
        <v>6404</v>
      </c>
      <c r="AB190" s="295">
        <v>4336.2985533878255</v>
      </c>
    </row>
    <row r="191" spans="1:28" ht="13.5" customHeight="1">
      <c r="A191" s="18">
        <v>31</v>
      </c>
      <c r="B191" s="19" t="s">
        <v>36</v>
      </c>
      <c r="C191" s="274">
        <v>56</v>
      </c>
      <c r="D191" s="275">
        <v>0</v>
      </c>
      <c r="E191" s="275">
        <v>4</v>
      </c>
      <c r="F191" s="275">
        <v>18</v>
      </c>
      <c r="G191" s="275">
        <v>126</v>
      </c>
      <c r="H191" s="275">
        <v>91</v>
      </c>
      <c r="I191" s="275">
        <v>528</v>
      </c>
      <c r="J191" s="275">
        <v>25</v>
      </c>
      <c r="K191" s="275">
        <v>135</v>
      </c>
      <c r="L191" s="275">
        <v>67</v>
      </c>
      <c r="M191" s="275">
        <v>0</v>
      </c>
      <c r="N191" s="275">
        <v>4</v>
      </c>
      <c r="O191" s="275">
        <v>194</v>
      </c>
      <c r="P191" s="275">
        <v>13</v>
      </c>
      <c r="Q191" s="275">
        <v>410</v>
      </c>
      <c r="R191" s="275">
        <v>250</v>
      </c>
      <c r="S191" s="275">
        <v>408</v>
      </c>
      <c r="T191" s="275">
        <v>62</v>
      </c>
      <c r="U191" s="275">
        <v>2391</v>
      </c>
      <c r="V191" s="276">
        <v>-2</v>
      </c>
      <c r="W191" s="277">
        <v>2389</v>
      </c>
      <c r="X191" s="275">
        <v>60</v>
      </c>
      <c r="Y191" s="275">
        <v>672</v>
      </c>
      <c r="Z191" s="276">
        <v>1659</v>
      </c>
      <c r="AA191" s="285">
        <v>5357</v>
      </c>
      <c r="AB191" s="295">
        <v>2431.4801458068737</v>
      </c>
    </row>
    <row r="192" spans="1:28" ht="13.5" customHeight="1">
      <c r="A192" s="18">
        <v>32</v>
      </c>
      <c r="B192" s="19" t="s">
        <v>37</v>
      </c>
      <c r="C192" s="274">
        <v>3</v>
      </c>
      <c r="D192" s="275">
        <v>0</v>
      </c>
      <c r="E192" s="275">
        <v>76</v>
      </c>
      <c r="F192" s="275">
        <v>0</v>
      </c>
      <c r="G192" s="275">
        <v>11</v>
      </c>
      <c r="H192" s="275">
        <v>47</v>
      </c>
      <c r="I192" s="275">
        <v>392</v>
      </c>
      <c r="J192" s="275">
        <v>16</v>
      </c>
      <c r="K192" s="275">
        <v>38</v>
      </c>
      <c r="L192" s="275">
        <v>43</v>
      </c>
      <c r="M192" s="275">
        <v>0</v>
      </c>
      <c r="N192" s="275">
        <v>5</v>
      </c>
      <c r="O192" s="275">
        <v>62</v>
      </c>
      <c r="P192" s="275">
        <v>0</v>
      </c>
      <c r="Q192" s="275">
        <v>290</v>
      </c>
      <c r="R192" s="275">
        <v>177</v>
      </c>
      <c r="S192" s="275">
        <v>128</v>
      </c>
      <c r="T192" s="275">
        <v>17</v>
      </c>
      <c r="U192" s="275">
        <v>1305</v>
      </c>
      <c r="V192" s="276">
        <v>-1</v>
      </c>
      <c r="W192" s="277">
        <v>1304</v>
      </c>
      <c r="X192" s="275">
        <v>79</v>
      </c>
      <c r="Y192" s="275">
        <v>403</v>
      </c>
      <c r="Z192" s="276">
        <v>823</v>
      </c>
      <c r="AA192" s="285">
        <v>3964</v>
      </c>
      <c r="AB192" s="295">
        <v>1328.7585267383042</v>
      </c>
    </row>
    <row r="193" spans="1:28" ht="13.5" customHeight="1">
      <c r="A193" s="18">
        <v>33</v>
      </c>
      <c r="B193" s="19" t="s">
        <v>38</v>
      </c>
      <c r="C193" s="274">
        <v>632</v>
      </c>
      <c r="D193" s="275">
        <v>0</v>
      </c>
      <c r="E193" s="275">
        <v>33</v>
      </c>
      <c r="F193" s="275">
        <v>64</v>
      </c>
      <c r="G193" s="275">
        <v>843</v>
      </c>
      <c r="H193" s="275">
        <v>258</v>
      </c>
      <c r="I193" s="275">
        <v>1422</v>
      </c>
      <c r="J193" s="275">
        <v>223</v>
      </c>
      <c r="K193" s="275">
        <v>82</v>
      </c>
      <c r="L193" s="275">
        <v>160</v>
      </c>
      <c r="M193" s="275">
        <v>0</v>
      </c>
      <c r="N193" s="275">
        <v>5</v>
      </c>
      <c r="O193" s="275">
        <v>114</v>
      </c>
      <c r="P193" s="275">
        <v>72</v>
      </c>
      <c r="Q193" s="275">
        <v>757</v>
      </c>
      <c r="R193" s="275">
        <v>290</v>
      </c>
      <c r="S193" s="275">
        <v>155</v>
      </c>
      <c r="T193" s="275">
        <v>153</v>
      </c>
      <c r="U193" s="275">
        <v>5263</v>
      </c>
      <c r="V193" s="276">
        <v>-4</v>
      </c>
      <c r="W193" s="277">
        <v>5259</v>
      </c>
      <c r="X193" s="275">
        <v>665</v>
      </c>
      <c r="Y193" s="275">
        <v>2329</v>
      </c>
      <c r="Z193" s="276">
        <v>2269</v>
      </c>
      <c r="AA193" s="285">
        <v>4856</v>
      </c>
      <c r="AB193" s="295">
        <v>5416.5416901355657</v>
      </c>
    </row>
    <row r="194" spans="1:28" ht="13.5" customHeight="1">
      <c r="A194" s="18">
        <v>34</v>
      </c>
      <c r="B194" s="19" t="s">
        <v>39</v>
      </c>
      <c r="C194" s="274">
        <v>250</v>
      </c>
      <c r="D194" s="275">
        <v>0</v>
      </c>
      <c r="E194" s="275">
        <v>6</v>
      </c>
      <c r="F194" s="275">
        <v>0</v>
      </c>
      <c r="G194" s="275">
        <v>130</v>
      </c>
      <c r="H194" s="275">
        <v>69</v>
      </c>
      <c r="I194" s="275">
        <v>2084</v>
      </c>
      <c r="J194" s="275">
        <v>56</v>
      </c>
      <c r="K194" s="275">
        <v>82</v>
      </c>
      <c r="L194" s="275">
        <v>131</v>
      </c>
      <c r="M194" s="275">
        <v>0</v>
      </c>
      <c r="N194" s="275">
        <v>4</v>
      </c>
      <c r="O194" s="275">
        <v>32</v>
      </c>
      <c r="P194" s="275">
        <v>6</v>
      </c>
      <c r="Q194" s="275">
        <v>355</v>
      </c>
      <c r="R194" s="275">
        <v>260</v>
      </c>
      <c r="S194" s="275">
        <v>117</v>
      </c>
      <c r="T194" s="275">
        <v>52</v>
      </c>
      <c r="U194" s="275">
        <v>3634</v>
      </c>
      <c r="V194" s="276">
        <v>-2</v>
      </c>
      <c r="W194" s="277">
        <v>3632</v>
      </c>
      <c r="X194" s="275">
        <v>256</v>
      </c>
      <c r="Y194" s="275">
        <v>2214</v>
      </c>
      <c r="Z194" s="276">
        <v>1164</v>
      </c>
      <c r="AA194" s="285">
        <v>6486</v>
      </c>
      <c r="AB194" s="295">
        <v>3705.5032414086668</v>
      </c>
    </row>
    <row r="195" spans="1:28" ht="13.5" customHeight="1">
      <c r="A195" s="18">
        <v>35</v>
      </c>
      <c r="B195" s="19" t="s">
        <v>40</v>
      </c>
      <c r="C195" s="274">
        <v>123</v>
      </c>
      <c r="D195" s="275">
        <v>3</v>
      </c>
      <c r="E195" s="275">
        <v>90</v>
      </c>
      <c r="F195" s="275">
        <v>0</v>
      </c>
      <c r="G195" s="275">
        <v>196</v>
      </c>
      <c r="H195" s="275">
        <v>125</v>
      </c>
      <c r="I195" s="275">
        <v>734</v>
      </c>
      <c r="J195" s="275">
        <v>210</v>
      </c>
      <c r="K195" s="275">
        <v>290</v>
      </c>
      <c r="L195" s="275">
        <v>109</v>
      </c>
      <c r="M195" s="275">
        <v>0</v>
      </c>
      <c r="N195" s="275">
        <v>5</v>
      </c>
      <c r="O195" s="275">
        <v>144</v>
      </c>
      <c r="P195" s="275">
        <v>119</v>
      </c>
      <c r="Q195" s="275">
        <v>655</v>
      </c>
      <c r="R195" s="275">
        <v>480</v>
      </c>
      <c r="S195" s="275">
        <v>170</v>
      </c>
      <c r="T195" s="275">
        <v>183</v>
      </c>
      <c r="U195" s="275">
        <v>3636</v>
      </c>
      <c r="V195" s="276">
        <v>-2</v>
      </c>
      <c r="W195" s="277">
        <v>3634</v>
      </c>
      <c r="X195" s="275">
        <v>216</v>
      </c>
      <c r="Y195" s="275">
        <v>930</v>
      </c>
      <c r="Z195" s="276">
        <v>2490</v>
      </c>
      <c r="AA195" s="285">
        <v>4757</v>
      </c>
      <c r="AB195" s="295">
        <v>3703.7519988509302</v>
      </c>
    </row>
    <row r="196" spans="1:28" ht="13.5" customHeight="1">
      <c r="A196" s="18">
        <v>36</v>
      </c>
      <c r="B196" s="19" t="s">
        <v>41</v>
      </c>
      <c r="C196" s="274">
        <v>355</v>
      </c>
      <c r="D196" s="275">
        <v>0</v>
      </c>
      <c r="E196" s="275">
        <v>139</v>
      </c>
      <c r="F196" s="275">
        <v>0</v>
      </c>
      <c r="G196" s="275">
        <v>422</v>
      </c>
      <c r="H196" s="275">
        <v>50</v>
      </c>
      <c r="I196" s="275">
        <v>1862</v>
      </c>
      <c r="J196" s="275">
        <v>160</v>
      </c>
      <c r="K196" s="275">
        <v>380</v>
      </c>
      <c r="L196" s="275">
        <v>196</v>
      </c>
      <c r="M196" s="275">
        <v>0</v>
      </c>
      <c r="N196" s="275">
        <v>5</v>
      </c>
      <c r="O196" s="275">
        <v>268</v>
      </c>
      <c r="P196" s="275">
        <v>27</v>
      </c>
      <c r="Q196" s="275">
        <v>685</v>
      </c>
      <c r="R196" s="275">
        <v>328</v>
      </c>
      <c r="S196" s="275">
        <v>356</v>
      </c>
      <c r="T196" s="275">
        <v>173</v>
      </c>
      <c r="U196" s="275">
        <v>5406</v>
      </c>
      <c r="V196" s="276">
        <v>-4</v>
      </c>
      <c r="W196" s="277">
        <v>5402</v>
      </c>
      <c r="X196" s="275">
        <v>494</v>
      </c>
      <c r="Y196" s="275">
        <v>2284</v>
      </c>
      <c r="Z196" s="276">
        <v>2628</v>
      </c>
      <c r="AA196" s="285">
        <v>5735</v>
      </c>
      <c r="AB196" s="295">
        <v>5550.0639759150135</v>
      </c>
    </row>
    <row r="197" spans="1:28" ht="13.5" customHeight="1">
      <c r="A197" s="18">
        <v>37</v>
      </c>
      <c r="B197" s="19" t="s">
        <v>49</v>
      </c>
      <c r="C197" s="274">
        <v>1330</v>
      </c>
      <c r="D197" s="275">
        <v>0</v>
      </c>
      <c r="E197" s="275">
        <v>629</v>
      </c>
      <c r="F197" s="275">
        <v>18</v>
      </c>
      <c r="G197" s="275">
        <v>2564</v>
      </c>
      <c r="H197" s="275">
        <v>1173</v>
      </c>
      <c r="I197" s="275">
        <v>1804</v>
      </c>
      <c r="J197" s="275">
        <v>1223</v>
      </c>
      <c r="K197" s="275">
        <v>918</v>
      </c>
      <c r="L197" s="275">
        <v>1003</v>
      </c>
      <c r="M197" s="275">
        <v>0</v>
      </c>
      <c r="N197" s="275">
        <v>200</v>
      </c>
      <c r="O197" s="275">
        <v>2008</v>
      </c>
      <c r="P197" s="275">
        <v>653</v>
      </c>
      <c r="Q197" s="275">
        <v>3792</v>
      </c>
      <c r="R197" s="275">
        <v>1693</v>
      </c>
      <c r="S197" s="275">
        <v>1809</v>
      </c>
      <c r="T197" s="275">
        <v>959</v>
      </c>
      <c r="U197" s="275">
        <v>21776</v>
      </c>
      <c r="V197" s="276">
        <v>-17</v>
      </c>
      <c r="W197" s="277">
        <v>21759</v>
      </c>
      <c r="X197" s="275">
        <v>1959</v>
      </c>
      <c r="Y197" s="275">
        <v>4386</v>
      </c>
      <c r="Z197" s="276">
        <v>15431</v>
      </c>
      <c r="AA197" s="285">
        <v>4462</v>
      </c>
      <c r="AB197" s="295">
        <v>22290.862217933322</v>
      </c>
    </row>
    <row r="198" spans="1:28" ht="13.5" customHeight="1">
      <c r="A198" s="20">
        <v>38</v>
      </c>
      <c r="B198" s="21" t="s">
        <v>50</v>
      </c>
      <c r="C198" s="278">
        <v>3170</v>
      </c>
      <c r="D198" s="279">
        <v>0</v>
      </c>
      <c r="E198" s="279">
        <v>146</v>
      </c>
      <c r="F198" s="279">
        <v>53</v>
      </c>
      <c r="G198" s="279">
        <v>1966</v>
      </c>
      <c r="H198" s="279">
        <v>1473</v>
      </c>
      <c r="I198" s="279">
        <v>5405</v>
      </c>
      <c r="J198" s="279">
        <v>3283</v>
      </c>
      <c r="K198" s="279">
        <v>1387</v>
      </c>
      <c r="L198" s="279">
        <v>695</v>
      </c>
      <c r="M198" s="279">
        <v>32</v>
      </c>
      <c r="N198" s="279">
        <v>361</v>
      </c>
      <c r="O198" s="279">
        <v>7508</v>
      </c>
      <c r="P198" s="279">
        <v>1884</v>
      </c>
      <c r="Q198" s="279">
        <v>6440</v>
      </c>
      <c r="R198" s="279">
        <v>5275</v>
      </c>
      <c r="S198" s="279">
        <v>8850</v>
      </c>
      <c r="T198" s="279">
        <v>3208</v>
      </c>
      <c r="U198" s="279">
        <v>51136</v>
      </c>
      <c r="V198" s="280">
        <v>-39</v>
      </c>
      <c r="W198" s="281">
        <v>51097</v>
      </c>
      <c r="X198" s="279">
        <v>3316</v>
      </c>
      <c r="Y198" s="279">
        <v>7424</v>
      </c>
      <c r="Z198" s="280">
        <v>40396</v>
      </c>
      <c r="AA198" s="286">
        <v>5178</v>
      </c>
      <c r="AB198" s="296">
        <v>51761.518942032715</v>
      </c>
    </row>
    <row r="199" spans="1:28" ht="13.5" customHeight="1">
      <c r="A199" s="20">
        <v>39</v>
      </c>
      <c r="B199" s="21" t="s">
        <v>42</v>
      </c>
      <c r="C199" s="266">
        <v>723</v>
      </c>
      <c r="D199" s="267">
        <v>0</v>
      </c>
      <c r="E199" s="267">
        <v>1</v>
      </c>
      <c r="F199" s="267">
        <v>0</v>
      </c>
      <c r="G199" s="267">
        <v>655</v>
      </c>
      <c r="H199" s="267">
        <v>76</v>
      </c>
      <c r="I199" s="267">
        <v>639</v>
      </c>
      <c r="J199" s="267">
        <v>114</v>
      </c>
      <c r="K199" s="267">
        <v>150</v>
      </c>
      <c r="L199" s="267">
        <v>91</v>
      </c>
      <c r="M199" s="267">
        <v>0</v>
      </c>
      <c r="N199" s="267">
        <v>5</v>
      </c>
      <c r="O199" s="267">
        <v>220</v>
      </c>
      <c r="P199" s="267">
        <v>38</v>
      </c>
      <c r="Q199" s="267">
        <v>595</v>
      </c>
      <c r="R199" s="267">
        <v>330</v>
      </c>
      <c r="S199" s="267">
        <v>152</v>
      </c>
      <c r="T199" s="267">
        <v>92</v>
      </c>
      <c r="U199" s="267">
        <v>3881</v>
      </c>
      <c r="V199" s="268">
        <v>-3</v>
      </c>
      <c r="W199" s="269">
        <v>3878</v>
      </c>
      <c r="X199" s="267">
        <v>724</v>
      </c>
      <c r="Y199" s="267">
        <v>1294</v>
      </c>
      <c r="Z199" s="268">
        <v>1863</v>
      </c>
      <c r="AA199" s="283">
        <v>5157</v>
      </c>
      <c r="AB199" s="293">
        <v>3985.831063821196</v>
      </c>
    </row>
    <row r="200" spans="1:28" ht="13.5" customHeight="1">
      <c r="A200" s="18">
        <v>40</v>
      </c>
      <c r="B200" s="19" t="s">
        <v>43</v>
      </c>
      <c r="C200" s="270">
        <v>1170</v>
      </c>
      <c r="D200" s="271">
        <v>8</v>
      </c>
      <c r="E200" s="271">
        <v>64</v>
      </c>
      <c r="F200" s="271">
        <v>0</v>
      </c>
      <c r="G200" s="271">
        <v>577</v>
      </c>
      <c r="H200" s="271">
        <v>337</v>
      </c>
      <c r="I200" s="271">
        <v>2520</v>
      </c>
      <c r="J200" s="271">
        <v>358</v>
      </c>
      <c r="K200" s="271">
        <v>1273</v>
      </c>
      <c r="L200" s="271">
        <v>2103</v>
      </c>
      <c r="M200" s="271">
        <v>0</v>
      </c>
      <c r="N200" s="271">
        <v>25</v>
      </c>
      <c r="O200" s="271">
        <v>1055</v>
      </c>
      <c r="P200" s="271">
        <v>765</v>
      </c>
      <c r="Q200" s="271">
        <v>518</v>
      </c>
      <c r="R200" s="271">
        <v>1890</v>
      </c>
      <c r="S200" s="271">
        <v>477</v>
      </c>
      <c r="T200" s="271">
        <v>1950</v>
      </c>
      <c r="U200" s="271">
        <v>15090</v>
      </c>
      <c r="V200" s="272">
        <v>-12</v>
      </c>
      <c r="W200" s="273">
        <v>15078</v>
      </c>
      <c r="X200" s="271">
        <v>1242</v>
      </c>
      <c r="Y200" s="271">
        <v>3097</v>
      </c>
      <c r="Z200" s="272">
        <v>10751</v>
      </c>
      <c r="AA200" s="284">
        <v>5217</v>
      </c>
      <c r="AB200" s="294">
        <v>15495.816388138759</v>
      </c>
    </row>
    <row r="201" spans="1:28" ht="13.5" customHeight="1">
      <c r="A201" s="20">
        <v>41</v>
      </c>
      <c r="B201" s="21" t="s">
        <v>44</v>
      </c>
      <c r="C201" s="278">
        <v>191</v>
      </c>
      <c r="D201" s="279">
        <v>0</v>
      </c>
      <c r="E201" s="279">
        <v>109</v>
      </c>
      <c r="F201" s="279">
        <v>14</v>
      </c>
      <c r="G201" s="279">
        <v>541</v>
      </c>
      <c r="H201" s="279">
        <v>270</v>
      </c>
      <c r="I201" s="279">
        <v>8551</v>
      </c>
      <c r="J201" s="279">
        <v>173</v>
      </c>
      <c r="K201" s="279">
        <v>396</v>
      </c>
      <c r="L201" s="279">
        <v>397</v>
      </c>
      <c r="M201" s="279">
        <v>0</v>
      </c>
      <c r="N201" s="279">
        <v>6</v>
      </c>
      <c r="O201" s="279">
        <v>341</v>
      </c>
      <c r="P201" s="279">
        <v>152</v>
      </c>
      <c r="Q201" s="279">
        <v>749</v>
      </c>
      <c r="R201" s="279">
        <v>620</v>
      </c>
      <c r="S201" s="279">
        <v>394</v>
      </c>
      <c r="T201" s="279">
        <v>285</v>
      </c>
      <c r="U201" s="279">
        <v>13189</v>
      </c>
      <c r="V201" s="280">
        <v>-10</v>
      </c>
      <c r="W201" s="281">
        <v>13179</v>
      </c>
      <c r="X201" s="279">
        <v>300</v>
      </c>
      <c r="Y201" s="279">
        <v>9106</v>
      </c>
      <c r="Z201" s="280">
        <v>3783</v>
      </c>
      <c r="AA201" s="286">
        <v>8278</v>
      </c>
      <c r="AB201" s="296">
        <v>13405.580522495888</v>
      </c>
    </row>
    <row r="202" spans="1:28" ht="15.75" customHeight="1">
      <c r="A202" s="123" t="s">
        <v>146</v>
      </c>
      <c r="B202" s="7" t="s">
        <v>152</v>
      </c>
      <c r="C202" s="270">
        <v>14544</v>
      </c>
      <c r="D202" s="271">
        <v>222</v>
      </c>
      <c r="E202" s="271">
        <v>2021</v>
      </c>
      <c r="F202" s="271">
        <v>1708</v>
      </c>
      <c r="G202" s="271">
        <v>21665</v>
      </c>
      <c r="H202" s="271">
        <v>23187</v>
      </c>
      <c r="I202" s="271">
        <v>42850</v>
      </c>
      <c r="J202" s="271">
        <v>22765</v>
      </c>
      <c r="K202" s="271">
        <v>12727</v>
      </c>
      <c r="L202" s="271">
        <v>26211</v>
      </c>
      <c r="M202" s="271">
        <v>4448</v>
      </c>
      <c r="N202" s="271">
        <v>5431</v>
      </c>
      <c r="O202" s="271">
        <v>37046</v>
      </c>
      <c r="P202" s="271">
        <v>22620</v>
      </c>
      <c r="Q202" s="271">
        <v>28887</v>
      </c>
      <c r="R202" s="271">
        <v>29165</v>
      </c>
      <c r="S202" s="271">
        <v>50280</v>
      </c>
      <c r="T202" s="271">
        <v>23026</v>
      </c>
      <c r="U202" s="271">
        <v>368803</v>
      </c>
      <c r="V202" s="272">
        <v>-281</v>
      </c>
      <c r="W202" s="273">
        <v>368522</v>
      </c>
      <c r="X202" s="271">
        <v>16787</v>
      </c>
      <c r="Y202" s="271">
        <v>66223</v>
      </c>
      <c r="Z202" s="272">
        <v>285793</v>
      </c>
      <c r="AA202" s="284">
        <v>5051</v>
      </c>
      <c r="AB202" s="294">
        <v>375928.40218652925</v>
      </c>
    </row>
    <row r="203" spans="1:28" ht="15.75" customHeight="1">
      <c r="A203" s="124" t="s">
        <v>147</v>
      </c>
      <c r="B203" s="17" t="s">
        <v>153</v>
      </c>
      <c r="C203" s="274">
        <v>5690</v>
      </c>
      <c r="D203" s="275">
        <v>11</v>
      </c>
      <c r="E203" s="275">
        <v>1546</v>
      </c>
      <c r="F203" s="275">
        <v>1222</v>
      </c>
      <c r="G203" s="275">
        <v>71831</v>
      </c>
      <c r="H203" s="275">
        <v>79752</v>
      </c>
      <c r="I203" s="275">
        <v>118450</v>
      </c>
      <c r="J203" s="275">
        <v>182160</v>
      </c>
      <c r="K203" s="275">
        <v>50465</v>
      </c>
      <c r="L203" s="275">
        <v>48374</v>
      </c>
      <c r="M203" s="275">
        <v>78726</v>
      </c>
      <c r="N203" s="275">
        <v>33376</v>
      </c>
      <c r="O203" s="275">
        <v>202378</v>
      </c>
      <c r="P203" s="275">
        <v>123938</v>
      </c>
      <c r="Q203" s="275">
        <v>84897</v>
      </c>
      <c r="R203" s="275">
        <v>97358</v>
      </c>
      <c r="S203" s="275">
        <v>178759</v>
      </c>
      <c r="T203" s="275">
        <v>88283</v>
      </c>
      <c r="U203" s="275">
        <v>1447216</v>
      </c>
      <c r="V203" s="276">
        <v>-1108</v>
      </c>
      <c r="W203" s="277">
        <v>1446108</v>
      </c>
      <c r="X203" s="275">
        <v>7247</v>
      </c>
      <c r="Y203" s="275">
        <v>191503</v>
      </c>
      <c r="Z203" s="276">
        <v>1248466</v>
      </c>
      <c r="AA203" s="285">
        <v>5658</v>
      </c>
      <c r="AB203" s="295">
        <v>1463967.0143495549</v>
      </c>
    </row>
    <row r="204" spans="1:28" ht="15.75" customHeight="1">
      <c r="A204" s="124" t="s">
        <v>148</v>
      </c>
      <c r="B204" s="17" t="s">
        <v>154</v>
      </c>
      <c r="C204" s="274">
        <v>14271</v>
      </c>
      <c r="D204" s="275">
        <v>18</v>
      </c>
      <c r="E204" s="275">
        <v>2395</v>
      </c>
      <c r="F204" s="275">
        <v>869</v>
      </c>
      <c r="G204" s="275">
        <v>42989</v>
      </c>
      <c r="H204" s="275">
        <v>14900</v>
      </c>
      <c r="I204" s="275">
        <v>53709</v>
      </c>
      <c r="J204" s="275">
        <v>53192</v>
      </c>
      <c r="K204" s="275">
        <v>24639</v>
      </c>
      <c r="L204" s="275">
        <v>15978</v>
      </c>
      <c r="M204" s="275">
        <v>3711</v>
      </c>
      <c r="N204" s="275">
        <v>7124</v>
      </c>
      <c r="O204" s="275">
        <v>70799</v>
      </c>
      <c r="P204" s="275">
        <v>35852</v>
      </c>
      <c r="Q204" s="275">
        <v>41209</v>
      </c>
      <c r="R204" s="275">
        <v>33871</v>
      </c>
      <c r="S204" s="275">
        <v>90342</v>
      </c>
      <c r="T204" s="275">
        <v>32438</v>
      </c>
      <c r="U204" s="275">
        <v>538306</v>
      </c>
      <c r="V204" s="276">
        <v>-412</v>
      </c>
      <c r="W204" s="277">
        <v>537894</v>
      </c>
      <c r="X204" s="275">
        <v>16684</v>
      </c>
      <c r="Y204" s="275">
        <v>97567</v>
      </c>
      <c r="Z204" s="276">
        <v>424055</v>
      </c>
      <c r="AA204" s="285">
        <v>4984</v>
      </c>
      <c r="AB204" s="295">
        <v>544749.72616676881</v>
      </c>
    </row>
    <row r="205" spans="1:28" ht="15.75" customHeight="1">
      <c r="A205" s="124" t="s">
        <v>149</v>
      </c>
      <c r="B205" s="17" t="s">
        <v>155</v>
      </c>
      <c r="C205" s="274">
        <v>277</v>
      </c>
      <c r="D205" s="275">
        <v>32</v>
      </c>
      <c r="E205" s="275">
        <v>1717</v>
      </c>
      <c r="F205" s="275">
        <v>288</v>
      </c>
      <c r="G205" s="275">
        <v>13528</v>
      </c>
      <c r="H205" s="275">
        <v>28705</v>
      </c>
      <c r="I205" s="275">
        <v>79695</v>
      </c>
      <c r="J205" s="275">
        <v>120743</v>
      </c>
      <c r="K205" s="275">
        <v>134994</v>
      </c>
      <c r="L205" s="275">
        <v>49005</v>
      </c>
      <c r="M205" s="275">
        <v>98532</v>
      </c>
      <c r="N205" s="275">
        <v>91900</v>
      </c>
      <c r="O205" s="275">
        <v>132242</v>
      </c>
      <c r="P205" s="275">
        <v>152578</v>
      </c>
      <c r="Q205" s="275">
        <v>182370</v>
      </c>
      <c r="R205" s="275">
        <v>37594</v>
      </c>
      <c r="S205" s="275">
        <v>96957</v>
      </c>
      <c r="T205" s="275">
        <v>57911</v>
      </c>
      <c r="U205" s="275">
        <v>1279068</v>
      </c>
      <c r="V205" s="276">
        <v>-977</v>
      </c>
      <c r="W205" s="277">
        <v>1278091</v>
      </c>
      <c r="X205" s="275">
        <v>2026</v>
      </c>
      <c r="Y205" s="275">
        <v>93511</v>
      </c>
      <c r="Z205" s="276">
        <v>1183531</v>
      </c>
      <c r="AA205" s="285">
        <v>7259</v>
      </c>
      <c r="AB205" s="295">
        <v>1289663.9001692208</v>
      </c>
    </row>
    <row r="206" spans="1:28" ht="15.75" customHeight="1">
      <c r="A206" s="124" t="s">
        <v>150</v>
      </c>
      <c r="B206" s="17" t="s">
        <v>156</v>
      </c>
      <c r="C206" s="274">
        <v>8950</v>
      </c>
      <c r="D206" s="275">
        <v>44</v>
      </c>
      <c r="E206" s="275">
        <v>586</v>
      </c>
      <c r="F206" s="275">
        <v>185</v>
      </c>
      <c r="G206" s="275">
        <v>9732</v>
      </c>
      <c r="H206" s="275">
        <v>6296</v>
      </c>
      <c r="I206" s="275">
        <v>16333</v>
      </c>
      <c r="J206" s="275">
        <v>18503</v>
      </c>
      <c r="K206" s="275">
        <v>7126</v>
      </c>
      <c r="L206" s="275">
        <v>6751</v>
      </c>
      <c r="M206" s="275">
        <v>2025</v>
      </c>
      <c r="N206" s="275">
        <v>2250</v>
      </c>
      <c r="O206" s="275">
        <v>14807</v>
      </c>
      <c r="P206" s="275">
        <v>10442</v>
      </c>
      <c r="Q206" s="275">
        <v>17540</v>
      </c>
      <c r="R206" s="275">
        <v>10501</v>
      </c>
      <c r="S206" s="275">
        <v>19025</v>
      </c>
      <c r="T206" s="275">
        <v>6079</v>
      </c>
      <c r="U206" s="275">
        <v>157175</v>
      </c>
      <c r="V206" s="276">
        <v>-120</v>
      </c>
      <c r="W206" s="277">
        <v>157055</v>
      </c>
      <c r="X206" s="275">
        <v>9580</v>
      </c>
      <c r="Y206" s="275">
        <v>26250</v>
      </c>
      <c r="Z206" s="276">
        <v>121345</v>
      </c>
      <c r="AA206" s="285">
        <v>5584</v>
      </c>
      <c r="AB206" s="295">
        <v>159908.03921837083</v>
      </c>
    </row>
    <row r="207" spans="1:28" ht="15.75" customHeight="1">
      <c r="A207" s="125" t="s">
        <v>151</v>
      </c>
      <c r="B207" s="117" t="s">
        <v>157</v>
      </c>
      <c r="C207" s="278">
        <v>6825</v>
      </c>
      <c r="D207" s="279">
        <v>34</v>
      </c>
      <c r="E207" s="279">
        <v>766</v>
      </c>
      <c r="F207" s="279">
        <v>235</v>
      </c>
      <c r="G207" s="279">
        <v>6592</v>
      </c>
      <c r="H207" s="279">
        <v>6862</v>
      </c>
      <c r="I207" s="279">
        <v>20915</v>
      </c>
      <c r="J207" s="279">
        <v>12580</v>
      </c>
      <c r="K207" s="279">
        <v>17614</v>
      </c>
      <c r="L207" s="279">
        <v>13326</v>
      </c>
      <c r="M207" s="279">
        <v>1471</v>
      </c>
      <c r="N207" s="279">
        <v>2448</v>
      </c>
      <c r="O207" s="279">
        <v>17343</v>
      </c>
      <c r="P207" s="279">
        <v>15235</v>
      </c>
      <c r="Q207" s="279">
        <v>19398</v>
      </c>
      <c r="R207" s="279">
        <v>11131</v>
      </c>
      <c r="S207" s="279">
        <v>12781</v>
      </c>
      <c r="T207" s="279">
        <v>8629</v>
      </c>
      <c r="U207" s="279">
        <v>174185</v>
      </c>
      <c r="V207" s="280">
        <v>-133</v>
      </c>
      <c r="W207" s="281">
        <v>174052</v>
      </c>
      <c r="X207" s="279">
        <v>7625</v>
      </c>
      <c r="Y207" s="279">
        <v>27742</v>
      </c>
      <c r="Z207" s="280">
        <v>138818</v>
      </c>
      <c r="AA207" s="286">
        <v>5630</v>
      </c>
      <c r="AB207" s="296">
        <v>177639.07127224508</v>
      </c>
    </row>
    <row r="208" spans="1:28" ht="15.75" customHeight="1">
      <c r="B208" s="25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10" spans="1:28" ht="13.5" customHeight="1">
      <c r="A210" s="56">
        <f>A158+1</f>
        <v>27</v>
      </c>
      <c r="B210" s="51" t="str">
        <f>IF(A210&lt;22,"令和"&amp;A210&amp;"年度","平成"&amp;A210&amp;"年度")</f>
        <v>平成27年度</v>
      </c>
      <c r="C210" s="57" t="str">
        <f>C$2</f>
        <v>経済活動別市町村内総生産（百万円）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1"/>
      <c r="Y210" s="2"/>
      <c r="Z210" s="58"/>
      <c r="AA210" s="58"/>
      <c r="AB210" s="58"/>
    </row>
    <row r="211" spans="1:28" ht="45" customHeight="1">
      <c r="A211" s="198"/>
      <c r="B211" s="88"/>
      <c r="C211" s="89" t="s">
        <v>51</v>
      </c>
      <c r="D211" s="89" t="s">
        <v>52</v>
      </c>
      <c r="E211" s="89" t="s">
        <v>53</v>
      </c>
      <c r="F211" s="89" t="s">
        <v>54</v>
      </c>
      <c r="G211" s="89" t="s">
        <v>55</v>
      </c>
      <c r="H211" s="89" t="s">
        <v>56</v>
      </c>
      <c r="I211" s="89" t="s">
        <v>57</v>
      </c>
      <c r="J211" s="89" t="s">
        <v>58</v>
      </c>
      <c r="K211" s="89" t="s">
        <v>59</v>
      </c>
      <c r="L211" s="89" t="s">
        <v>60</v>
      </c>
      <c r="M211" s="89" t="s">
        <v>61</v>
      </c>
      <c r="N211" s="89" t="s">
        <v>62</v>
      </c>
      <c r="O211" s="89" t="s">
        <v>63</v>
      </c>
      <c r="P211" s="89" t="s">
        <v>64</v>
      </c>
      <c r="Q211" s="89" t="s">
        <v>65</v>
      </c>
      <c r="R211" s="89" t="s">
        <v>66</v>
      </c>
      <c r="S211" s="89" t="s">
        <v>67</v>
      </c>
      <c r="T211" s="89" t="s">
        <v>68</v>
      </c>
      <c r="U211" s="89" t="s">
        <v>70</v>
      </c>
      <c r="V211" s="90" t="s">
        <v>69</v>
      </c>
      <c r="W211" s="91" t="s">
        <v>71</v>
      </c>
      <c r="X211" s="89" t="s">
        <v>72</v>
      </c>
      <c r="Y211" s="89" t="s">
        <v>73</v>
      </c>
      <c r="Z211" s="89" t="s">
        <v>74</v>
      </c>
      <c r="AA211" s="282" t="s">
        <v>277</v>
      </c>
      <c r="AB211" s="292" t="s">
        <v>278</v>
      </c>
    </row>
    <row r="212" spans="1:28" ht="13.5" customHeight="1">
      <c r="A212" s="165" t="s">
        <v>160</v>
      </c>
      <c r="B212" s="22" t="s">
        <v>0</v>
      </c>
      <c r="C212" s="266">
        <v>48437</v>
      </c>
      <c r="D212" s="267">
        <v>350</v>
      </c>
      <c r="E212" s="267">
        <v>10852</v>
      </c>
      <c r="F212" s="267">
        <v>5690</v>
      </c>
      <c r="G212" s="267">
        <v>188524</v>
      </c>
      <c r="H212" s="267">
        <v>166117</v>
      </c>
      <c r="I212" s="267">
        <v>383559</v>
      </c>
      <c r="J212" s="267">
        <v>413862</v>
      </c>
      <c r="K212" s="267">
        <v>262743</v>
      </c>
      <c r="L212" s="267">
        <v>165042</v>
      </c>
      <c r="M212" s="267">
        <v>195210</v>
      </c>
      <c r="N212" s="267">
        <v>147509</v>
      </c>
      <c r="O212" s="267">
        <v>480073</v>
      </c>
      <c r="P212" s="267">
        <v>395049</v>
      </c>
      <c r="Q212" s="267">
        <v>384405</v>
      </c>
      <c r="R212" s="267">
        <v>225457</v>
      </c>
      <c r="S212" s="267">
        <v>480319</v>
      </c>
      <c r="T212" s="267">
        <v>223319</v>
      </c>
      <c r="U212" s="267">
        <v>4176517</v>
      </c>
      <c r="V212" s="268">
        <v>-16444</v>
      </c>
      <c r="W212" s="269">
        <v>4160073</v>
      </c>
      <c r="X212" s="267">
        <v>59639</v>
      </c>
      <c r="Y212" s="267">
        <v>577773</v>
      </c>
      <c r="Z212" s="268">
        <v>3539105</v>
      </c>
      <c r="AA212" s="283">
        <v>6094</v>
      </c>
      <c r="AB212" s="293">
        <v>4166880</v>
      </c>
    </row>
    <row r="213" spans="1:28" ht="13.5" customHeight="1">
      <c r="A213" s="16" t="s">
        <v>1</v>
      </c>
      <c r="B213" s="17" t="s">
        <v>2</v>
      </c>
      <c r="C213" s="270">
        <v>253</v>
      </c>
      <c r="D213" s="271">
        <v>32</v>
      </c>
      <c r="E213" s="271">
        <v>2315</v>
      </c>
      <c r="F213" s="271">
        <v>379</v>
      </c>
      <c r="G213" s="271">
        <v>12549</v>
      </c>
      <c r="H213" s="271">
        <v>28872</v>
      </c>
      <c r="I213" s="271">
        <v>88860</v>
      </c>
      <c r="J213" s="271">
        <v>121597</v>
      </c>
      <c r="K213" s="271">
        <v>139059</v>
      </c>
      <c r="L213" s="271">
        <v>49946</v>
      </c>
      <c r="M213" s="271">
        <v>102547</v>
      </c>
      <c r="N213" s="271">
        <v>91748</v>
      </c>
      <c r="O213" s="271">
        <v>131726</v>
      </c>
      <c r="P213" s="271">
        <v>167190</v>
      </c>
      <c r="Q213" s="271">
        <v>189088</v>
      </c>
      <c r="R213" s="271">
        <v>38112</v>
      </c>
      <c r="S213" s="271">
        <v>105746</v>
      </c>
      <c r="T213" s="271">
        <v>58027</v>
      </c>
      <c r="U213" s="271">
        <v>1328046</v>
      </c>
      <c r="V213" s="272">
        <v>-5230</v>
      </c>
      <c r="W213" s="273">
        <v>1322816</v>
      </c>
      <c r="X213" s="271">
        <v>2600</v>
      </c>
      <c r="Y213" s="271">
        <v>101788</v>
      </c>
      <c r="Z213" s="272">
        <v>1223658</v>
      </c>
      <c r="AA213" s="284">
        <v>7417</v>
      </c>
      <c r="AB213" s="294">
        <v>1325062.247354089</v>
      </c>
    </row>
    <row r="214" spans="1:28" ht="13.5" customHeight="1">
      <c r="A214" s="18" t="s">
        <v>3</v>
      </c>
      <c r="B214" s="19" t="s">
        <v>4</v>
      </c>
      <c r="C214" s="274">
        <v>96</v>
      </c>
      <c r="D214" s="275">
        <v>0</v>
      </c>
      <c r="E214" s="275">
        <v>213</v>
      </c>
      <c r="F214" s="275">
        <v>513</v>
      </c>
      <c r="G214" s="275">
        <v>5775</v>
      </c>
      <c r="H214" s="275">
        <v>6315</v>
      </c>
      <c r="I214" s="275">
        <v>17336</v>
      </c>
      <c r="J214" s="275">
        <v>24275</v>
      </c>
      <c r="K214" s="275">
        <v>5562</v>
      </c>
      <c r="L214" s="275">
        <v>7670</v>
      </c>
      <c r="M214" s="275">
        <v>13677</v>
      </c>
      <c r="N214" s="275">
        <v>4645</v>
      </c>
      <c r="O214" s="275">
        <v>32720</v>
      </c>
      <c r="P214" s="275">
        <v>18405</v>
      </c>
      <c r="Q214" s="275">
        <v>8335</v>
      </c>
      <c r="R214" s="275">
        <v>13391</v>
      </c>
      <c r="S214" s="275">
        <v>20092</v>
      </c>
      <c r="T214" s="275">
        <v>13494</v>
      </c>
      <c r="U214" s="275">
        <v>192514</v>
      </c>
      <c r="V214" s="276">
        <v>-758</v>
      </c>
      <c r="W214" s="277">
        <v>191756</v>
      </c>
      <c r="X214" s="275">
        <v>309</v>
      </c>
      <c r="Y214" s="275">
        <v>23624</v>
      </c>
      <c r="Z214" s="276">
        <v>168581</v>
      </c>
      <c r="AA214" s="285">
        <v>5453</v>
      </c>
      <c r="AB214" s="295">
        <v>192021.56515139123</v>
      </c>
    </row>
    <row r="215" spans="1:28" ht="13.5" customHeight="1">
      <c r="A215" s="18" t="s">
        <v>5</v>
      </c>
      <c r="B215" s="19" t="s">
        <v>6</v>
      </c>
      <c r="C215" s="274">
        <v>5046</v>
      </c>
      <c r="D215" s="275">
        <v>26</v>
      </c>
      <c r="E215" s="275">
        <v>706</v>
      </c>
      <c r="F215" s="275">
        <v>223</v>
      </c>
      <c r="G215" s="275">
        <v>5473</v>
      </c>
      <c r="H215" s="275">
        <v>6922</v>
      </c>
      <c r="I215" s="275">
        <v>16550</v>
      </c>
      <c r="J215" s="275">
        <v>12223</v>
      </c>
      <c r="K215" s="275">
        <v>14454</v>
      </c>
      <c r="L215" s="275">
        <v>10890</v>
      </c>
      <c r="M215" s="275">
        <v>1878</v>
      </c>
      <c r="N215" s="275">
        <v>2687</v>
      </c>
      <c r="O215" s="275">
        <v>16006</v>
      </c>
      <c r="P215" s="275">
        <v>15349</v>
      </c>
      <c r="Q215" s="275">
        <v>18638</v>
      </c>
      <c r="R215" s="275">
        <v>8835</v>
      </c>
      <c r="S215" s="275">
        <v>12881</v>
      </c>
      <c r="T215" s="275">
        <v>6932</v>
      </c>
      <c r="U215" s="275">
        <v>155719</v>
      </c>
      <c r="V215" s="276">
        <v>-613</v>
      </c>
      <c r="W215" s="277">
        <v>155106</v>
      </c>
      <c r="X215" s="275">
        <v>5778</v>
      </c>
      <c r="Y215" s="275">
        <v>22246</v>
      </c>
      <c r="Z215" s="276">
        <v>127695</v>
      </c>
      <c r="AA215" s="285">
        <v>5714</v>
      </c>
      <c r="AB215" s="295">
        <v>155345.19082763407</v>
      </c>
    </row>
    <row r="216" spans="1:28" ht="13.5" customHeight="1">
      <c r="A216" s="18" t="s">
        <v>7</v>
      </c>
      <c r="B216" s="19" t="s">
        <v>8</v>
      </c>
      <c r="C216" s="274">
        <v>31</v>
      </c>
      <c r="D216" s="275">
        <v>2</v>
      </c>
      <c r="E216" s="275">
        <v>165</v>
      </c>
      <c r="F216" s="275">
        <v>134</v>
      </c>
      <c r="G216" s="275">
        <v>19723</v>
      </c>
      <c r="H216" s="275">
        <v>14432</v>
      </c>
      <c r="I216" s="275">
        <v>29575</v>
      </c>
      <c r="J216" s="275">
        <v>78904</v>
      </c>
      <c r="K216" s="275">
        <v>21148</v>
      </c>
      <c r="L216" s="275">
        <v>7188</v>
      </c>
      <c r="M216" s="275">
        <v>40977</v>
      </c>
      <c r="N216" s="275">
        <v>10273</v>
      </c>
      <c r="O216" s="275">
        <v>36537</v>
      </c>
      <c r="P216" s="275">
        <v>45918</v>
      </c>
      <c r="Q216" s="275">
        <v>13445</v>
      </c>
      <c r="R216" s="275">
        <v>17212</v>
      </c>
      <c r="S216" s="275">
        <v>38818</v>
      </c>
      <c r="T216" s="275">
        <v>16937</v>
      </c>
      <c r="U216" s="275">
        <v>391419</v>
      </c>
      <c r="V216" s="276">
        <v>-1541</v>
      </c>
      <c r="W216" s="277">
        <v>389878</v>
      </c>
      <c r="X216" s="275">
        <v>198</v>
      </c>
      <c r="Y216" s="275">
        <v>49432</v>
      </c>
      <c r="Z216" s="276">
        <v>341789</v>
      </c>
      <c r="AA216" s="285">
        <v>6924</v>
      </c>
      <c r="AB216" s="295">
        <v>390684.57714217203</v>
      </c>
    </row>
    <row r="217" spans="1:28" ht="13.5" customHeight="1">
      <c r="A217" s="16" t="s">
        <v>9</v>
      </c>
      <c r="B217" s="17" t="s">
        <v>10</v>
      </c>
      <c r="C217" s="274">
        <v>2883</v>
      </c>
      <c r="D217" s="275">
        <v>82</v>
      </c>
      <c r="E217" s="275">
        <v>387</v>
      </c>
      <c r="F217" s="275">
        <v>1096</v>
      </c>
      <c r="G217" s="275">
        <v>16232</v>
      </c>
      <c r="H217" s="275">
        <v>8106</v>
      </c>
      <c r="I217" s="275">
        <v>19225</v>
      </c>
      <c r="J217" s="275">
        <v>15969</v>
      </c>
      <c r="K217" s="275">
        <v>5079</v>
      </c>
      <c r="L217" s="275">
        <v>9936</v>
      </c>
      <c r="M217" s="275">
        <v>2467</v>
      </c>
      <c r="N217" s="275">
        <v>4567</v>
      </c>
      <c r="O217" s="275">
        <v>18524</v>
      </c>
      <c r="P217" s="275">
        <v>13346</v>
      </c>
      <c r="Q217" s="275">
        <v>13356</v>
      </c>
      <c r="R217" s="275">
        <v>14341</v>
      </c>
      <c r="S217" s="275">
        <v>32268</v>
      </c>
      <c r="T217" s="275">
        <v>8848</v>
      </c>
      <c r="U217" s="275">
        <v>186712</v>
      </c>
      <c r="V217" s="276">
        <v>-735</v>
      </c>
      <c r="W217" s="277">
        <v>185977</v>
      </c>
      <c r="X217" s="275">
        <v>3352</v>
      </c>
      <c r="Y217" s="275">
        <v>36553</v>
      </c>
      <c r="Z217" s="276">
        <v>146807</v>
      </c>
      <c r="AA217" s="285">
        <v>5710</v>
      </c>
      <c r="AB217" s="295">
        <v>186099.39025865481</v>
      </c>
    </row>
    <row r="218" spans="1:28" ht="13.5" customHeight="1">
      <c r="A218" s="18" t="s">
        <v>11</v>
      </c>
      <c r="B218" s="19" t="s">
        <v>12</v>
      </c>
      <c r="C218" s="274">
        <v>3498</v>
      </c>
      <c r="D218" s="275">
        <v>2</v>
      </c>
      <c r="E218" s="275">
        <v>655</v>
      </c>
      <c r="F218" s="275">
        <v>692</v>
      </c>
      <c r="G218" s="275">
        <v>18828</v>
      </c>
      <c r="H218" s="275">
        <v>3306</v>
      </c>
      <c r="I218" s="275">
        <v>16621</v>
      </c>
      <c r="J218" s="275">
        <v>11327</v>
      </c>
      <c r="K218" s="275">
        <v>5564</v>
      </c>
      <c r="L218" s="275">
        <v>4682</v>
      </c>
      <c r="M218" s="275">
        <v>666</v>
      </c>
      <c r="N218" s="275">
        <v>1772</v>
      </c>
      <c r="O218" s="275">
        <v>16082</v>
      </c>
      <c r="P218" s="275">
        <v>4596</v>
      </c>
      <c r="Q218" s="275">
        <v>7804</v>
      </c>
      <c r="R218" s="275">
        <v>8147</v>
      </c>
      <c r="S218" s="275">
        <v>20371</v>
      </c>
      <c r="T218" s="275">
        <v>8294</v>
      </c>
      <c r="U218" s="275">
        <v>132907</v>
      </c>
      <c r="V218" s="276">
        <v>-524</v>
      </c>
      <c r="W218" s="277">
        <v>132383</v>
      </c>
      <c r="X218" s="275">
        <v>4155</v>
      </c>
      <c r="Y218" s="275">
        <v>36141</v>
      </c>
      <c r="Z218" s="276">
        <v>92611</v>
      </c>
      <c r="AA218" s="285">
        <v>4785</v>
      </c>
      <c r="AB218" s="295">
        <v>132233.06572333424</v>
      </c>
    </row>
    <row r="219" spans="1:28" ht="13.5" customHeight="1">
      <c r="A219" s="18" t="s">
        <v>13</v>
      </c>
      <c r="B219" s="19" t="s">
        <v>14</v>
      </c>
      <c r="C219" s="274">
        <v>1238</v>
      </c>
      <c r="D219" s="275">
        <v>2</v>
      </c>
      <c r="E219" s="275">
        <v>246</v>
      </c>
      <c r="F219" s="275">
        <v>112</v>
      </c>
      <c r="G219" s="275">
        <v>11753</v>
      </c>
      <c r="H219" s="275">
        <v>8209</v>
      </c>
      <c r="I219" s="275">
        <v>25564</v>
      </c>
      <c r="J219" s="275">
        <v>24151</v>
      </c>
      <c r="K219" s="275">
        <v>9409</v>
      </c>
      <c r="L219" s="275">
        <v>12515</v>
      </c>
      <c r="M219" s="275">
        <v>3721</v>
      </c>
      <c r="N219" s="275">
        <v>10162</v>
      </c>
      <c r="O219" s="275">
        <v>44694</v>
      </c>
      <c r="P219" s="275">
        <v>30058</v>
      </c>
      <c r="Q219" s="275">
        <v>25996</v>
      </c>
      <c r="R219" s="275">
        <v>19636</v>
      </c>
      <c r="S219" s="275">
        <v>54900</v>
      </c>
      <c r="T219" s="275">
        <v>20133</v>
      </c>
      <c r="U219" s="275">
        <v>302499</v>
      </c>
      <c r="V219" s="276">
        <v>-1191</v>
      </c>
      <c r="W219" s="277">
        <v>301308</v>
      </c>
      <c r="X219" s="275">
        <v>1486</v>
      </c>
      <c r="Y219" s="275">
        <v>37429</v>
      </c>
      <c r="Z219" s="276">
        <v>263584</v>
      </c>
      <c r="AA219" s="285">
        <v>5710</v>
      </c>
      <c r="AB219" s="295">
        <v>301462.07065658027</v>
      </c>
    </row>
    <row r="220" spans="1:28" ht="13.5" customHeight="1">
      <c r="A220" s="18" t="s">
        <v>15</v>
      </c>
      <c r="B220" s="19" t="s">
        <v>45</v>
      </c>
      <c r="C220" s="274">
        <v>1337</v>
      </c>
      <c r="D220" s="275">
        <v>3</v>
      </c>
      <c r="E220" s="275">
        <v>372</v>
      </c>
      <c r="F220" s="275">
        <v>134</v>
      </c>
      <c r="G220" s="275">
        <v>6547</v>
      </c>
      <c r="H220" s="275">
        <v>3430</v>
      </c>
      <c r="I220" s="275">
        <v>13784</v>
      </c>
      <c r="J220" s="275">
        <v>15969</v>
      </c>
      <c r="K220" s="275">
        <v>12722</v>
      </c>
      <c r="L220" s="275">
        <v>3319</v>
      </c>
      <c r="M220" s="275">
        <v>2755</v>
      </c>
      <c r="N220" s="275">
        <v>1811</v>
      </c>
      <c r="O220" s="275">
        <v>18819</v>
      </c>
      <c r="P220" s="275">
        <v>22608</v>
      </c>
      <c r="Q220" s="275">
        <v>5939</v>
      </c>
      <c r="R220" s="275">
        <v>6896</v>
      </c>
      <c r="S220" s="275">
        <v>24659</v>
      </c>
      <c r="T220" s="275">
        <v>6715</v>
      </c>
      <c r="U220" s="275">
        <v>147819</v>
      </c>
      <c r="V220" s="276">
        <v>-582</v>
      </c>
      <c r="W220" s="277">
        <v>147237</v>
      </c>
      <c r="X220" s="275">
        <v>1712</v>
      </c>
      <c r="Y220" s="275">
        <v>20465</v>
      </c>
      <c r="Z220" s="276">
        <v>125642</v>
      </c>
      <c r="AA220" s="285">
        <v>6152</v>
      </c>
      <c r="AB220" s="295">
        <v>147372.435639606</v>
      </c>
    </row>
    <row r="221" spans="1:28" ht="13.5" customHeight="1">
      <c r="A221" s="18" t="s">
        <v>16</v>
      </c>
      <c r="B221" s="19" t="s">
        <v>46</v>
      </c>
      <c r="C221" s="274">
        <v>2449</v>
      </c>
      <c r="D221" s="275">
        <v>0</v>
      </c>
      <c r="E221" s="275">
        <v>730</v>
      </c>
      <c r="F221" s="275">
        <v>268</v>
      </c>
      <c r="G221" s="275">
        <v>19501</v>
      </c>
      <c r="H221" s="275">
        <v>26230</v>
      </c>
      <c r="I221" s="275">
        <v>30963</v>
      </c>
      <c r="J221" s="275">
        <v>22989</v>
      </c>
      <c r="K221" s="275">
        <v>9883</v>
      </c>
      <c r="L221" s="275">
        <v>6783</v>
      </c>
      <c r="M221" s="275">
        <v>16661</v>
      </c>
      <c r="N221" s="275">
        <v>4872</v>
      </c>
      <c r="O221" s="275">
        <v>37560</v>
      </c>
      <c r="P221" s="275">
        <v>26492</v>
      </c>
      <c r="Q221" s="275">
        <v>18348</v>
      </c>
      <c r="R221" s="275">
        <v>14548</v>
      </c>
      <c r="S221" s="275">
        <v>31359</v>
      </c>
      <c r="T221" s="275">
        <v>16260</v>
      </c>
      <c r="U221" s="275">
        <v>285896</v>
      </c>
      <c r="V221" s="276">
        <v>-1125</v>
      </c>
      <c r="W221" s="277">
        <v>284771</v>
      </c>
      <c r="X221" s="275">
        <v>3179</v>
      </c>
      <c r="Y221" s="275">
        <v>50732</v>
      </c>
      <c r="Z221" s="276">
        <v>231985</v>
      </c>
      <c r="AA221" s="285">
        <v>6402</v>
      </c>
      <c r="AB221" s="295">
        <v>285975.00772808923</v>
      </c>
    </row>
    <row r="222" spans="1:28" ht="13.5" customHeight="1">
      <c r="A222" s="18">
        <v>10</v>
      </c>
      <c r="B222" s="19" t="s">
        <v>47</v>
      </c>
      <c r="C222" s="274">
        <v>7463</v>
      </c>
      <c r="D222" s="275">
        <v>43</v>
      </c>
      <c r="E222" s="275">
        <v>726</v>
      </c>
      <c r="F222" s="275">
        <v>245</v>
      </c>
      <c r="G222" s="275">
        <v>8715</v>
      </c>
      <c r="H222" s="275">
        <v>6531</v>
      </c>
      <c r="I222" s="275">
        <v>14635</v>
      </c>
      <c r="J222" s="275">
        <v>18618</v>
      </c>
      <c r="K222" s="275">
        <v>7471</v>
      </c>
      <c r="L222" s="275">
        <v>6918</v>
      </c>
      <c r="M222" s="275">
        <v>2035</v>
      </c>
      <c r="N222" s="275">
        <v>2350</v>
      </c>
      <c r="O222" s="275">
        <v>14576</v>
      </c>
      <c r="P222" s="275">
        <v>11374</v>
      </c>
      <c r="Q222" s="275">
        <v>16923</v>
      </c>
      <c r="R222" s="275">
        <v>10224</v>
      </c>
      <c r="S222" s="275">
        <v>20016</v>
      </c>
      <c r="T222" s="275">
        <v>6345</v>
      </c>
      <c r="U222" s="275">
        <v>155208</v>
      </c>
      <c r="V222" s="276">
        <v>-611</v>
      </c>
      <c r="W222" s="277">
        <v>154597</v>
      </c>
      <c r="X222" s="275">
        <v>8232</v>
      </c>
      <c r="Y222" s="275">
        <v>23595</v>
      </c>
      <c r="Z222" s="276">
        <v>123381</v>
      </c>
      <c r="AA222" s="285">
        <v>5616</v>
      </c>
      <c r="AB222" s="295">
        <v>154699.8725714192</v>
      </c>
    </row>
    <row r="223" spans="1:28" ht="13.5" customHeight="1">
      <c r="A223" s="20">
        <v>11</v>
      </c>
      <c r="B223" s="21" t="s">
        <v>48</v>
      </c>
      <c r="C223" s="278">
        <v>2782</v>
      </c>
      <c r="D223" s="279">
        <v>2</v>
      </c>
      <c r="E223" s="279">
        <v>602</v>
      </c>
      <c r="F223" s="279">
        <v>67</v>
      </c>
      <c r="G223" s="279">
        <v>8568</v>
      </c>
      <c r="H223" s="279">
        <v>2558</v>
      </c>
      <c r="I223" s="279">
        <v>8333</v>
      </c>
      <c r="J223" s="279">
        <v>4239</v>
      </c>
      <c r="K223" s="279">
        <v>3979</v>
      </c>
      <c r="L223" s="279">
        <v>1537</v>
      </c>
      <c r="M223" s="279">
        <v>612</v>
      </c>
      <c r="N223" s="279">
        <v>551</v>
      </c>
      <c r="O223" s="279">
        <v>11108</v>
      </c>
      <c r="P223" s="279">
        <v>1949</v>
      </c>
      <c r="Q223" s="279">
        <v>8998</v>
      </c>
      <c r="R223" s="279">
        <v>3223</v>
      </c>
      <c r="S223" s="279">
        <v>8648</v>
      </c>
      <c r="T223" s="279">
        <v>4583</v>
      </c>
      <c r="U223" s="279">
        <v>72339</v>
      </c>
      <c r="V223" s="280">
        <v>-285</v>
      </c>
      <c r="W223" s="281">
        <v>72054</v>
      </c>
      <c r="X223" s="279">
        <v>3386</v>
      </c>
      <c r="Y223" s="279">
        <v>16968</v>
      </c>
      <c r="Z223" s="280">
        <v>51985</v>
      </c>
      <c r="AA223" s="286">
        <v>4623</v>
      </c>
      <c r="AB223" s="296">
        <v>72033.887783226033</v>
      </c>
    </row>
    <row r="224" spans="1:28" ht="13.5" customHeight="1">
      <c r="A224" s="18">
        <v>12</v>
      </c>
      <c r="B224" s="19" t="s">
        <v>17</v>
      </c>
      <c r="C224" s="270">
        <v>1649</v>
      </c>
      <c r="D224" s="271">
        <v>91</v>
      </c>
      <c r="E224" s="271">
        <v>61</v>
      </c>
      <c r="F224" s="271">
        <v>245</v>
      </c>
      <c r="G224" s="271">
        <v>386</v>
      </c>
      <c r="H224" s="271">
        <v>395</v>
      </c>
      <c r="I224" s="271">
        <v>2312</v>
      </c>
      <c r="J224" s="271">
        <v>466</v>
      </c>
      <c r="K224" s="271">
        <v>338</v>
      </c>
      <c r="L224" s="271">
        <v>1406</v>
      </c>
      <c r="M224" s="271">
        <v>0</v>
      </c>
      <c r="N224" s="271">
        <v>143</v>
      </c>
      <c r="O224" s="271">
        <v>1099</v>
      </c>
      <c r="P224" s="271">
        <v>216</v>
      </c>
      <c r="Q224" s="271">
        <v>1382</v>
      </c>
      <c r="R224" s="271">
        <v>959</v>
      </c>
      <c r="S224" s="271">
        <v>874</v>
      </c>
      <c r="T224" s="271">
        <v>552</v>
      </c>
      <c r="U224" s="271">
        <v>12574</v>
      </c>
      <c r="V224" s="272">
        <v>-50</v>
      </c>
      <c r="W224" s="273">
        <v>12524</v>
      </c>
      <c r="X224" s="271">
        <v>1801</v>
      </c>
      <c r="Y224" s="271">
        <v>2943</v>
      </c>
      <c r="Z224" s="272">
        <v>7830</v>
      </c>
      <c r="AA224" s="284">
        <v>4257</v>
      </c>
      <c r="AB224" s="294">
        <v>12508.631240542307</v>
      </c>
    </row>
    <row r="225" spans="1:28" ht="13.5" customHeight="1">
      <c r="A225" s="18">
        <v>13</v>
      </c>
      <c r="B225" s="19" t="s">
        <v>18</v>
      </c>
      <c r="C225" s="274">
        <v>1276</v>
      </c>
      <c r="D225" s="275">
        <v>7</v>
      </c>
      <c r="E225" s="275">
        <v>183</v>
      </c>
      <c r="F225" s="275">
        <v>0</v>
      </c>
      <c r="G225" s="275">
        <v>154</v>
      </c>
      <c r="H225" s="275">
        <v>222</v>
      </c>
      <c r="I225" s="275">
        <v>1616</v>
      </c>
      <c r="J225" s="275">
        <v>184</v>
      </c>
      <c r="K225" s="275">
        <v>436</v>
      </c>
      <c r="L225" s="275">
        <v>70</v>
      </c>
      <c r="M225" s="275">
        <v>0</v>
      </c>
      <c r="N225" s="275">
        <v>3</v>
      </c>
      <c r="O225" s="275">
        <v>733</v>
      </c>
      <c r="P225" s="275">
        <v>211</v>
      </c>
      <c r="Q225" s="275">
        <v>810</v>
      </c>
      <c r="R225" s="275">
        <v>898</v>
      </c>
      <c r="S225" s="275">
        <v>903</v>
      </c>
      <c r="T225" s="275">
        <v>284</v>
      </c>
      <c r="U225" s="275">
        <v>7990</v>
      </c>
      <c r="V225" s="276">
        <v>-31</v>
      </c>
      <c r="W225" s="277">
        <v>7959</v>
      </c>
      <c r="X225" s="275">
        <v>1466</v>
      </c>
      <c r="Y225" s="275">
        <v>1770</v>
      </c>
      <c r="Z225" s="276">
        <v>4754</v>
      </c>
      <c r="AA225" s="285">
        <v>4556</v>
      </c>
      <c r="AB225" s="295">
        <v>7947.0679976354113</v>
      </c>
    </row>
    <row r="226" spans="1:28" ht="13.5" customHeight="1">
      <c r="A226" s="18">
        <v>14</v>
      </c>
      <c r="B226" s="19" t="s">
        <v>19</v>
      </c>
      <c r="C226" s="274">
        <v>870</v>
      </c>
      <c r="D226" s="275">
        <v>5</v>
      </c>
      <c r="E226" s="275">
        <v>32</v>
      </c>
      <c r="F226" s="275">
        <v>0</v>
      </c>
      <c r="G226" s="275">
        <v>342</v>
      </c>
      <c r="H226" s="275">
        <v>49</v>
      </c>
      <c r="I226" s="275">
        <v>1526</v>
      </c>
      <c r="J226" s="275">
        <v>103</v>
      </c>
      <c r="K226" s="275">
        <v>103</v>
      </c>
      <c r="L226" s="275">
        <v>193</v>
      </c>
      <c r="M226" s="275">
        <v>0</v>
      </c>
      <c r="N226" s="275">
        <v>6</v>
      </c>
      <c r="O226" s="275">
        <v>355</v>
      </c>
      <c r="P226" s="275">
        <v>1241</v>
      </c>
      <c r="Q226" s="275">
        <v>688</v>
      </c>
      <c r="R226" s="275">
        <v>688</v>
      </c>
      <c r="S226" s="275">
        <v>275</v>
      </c>
      <c r="T226" s="275">
        <v>261</v>
      </c>
      <c r="U226" s="275">
        <v>6737</v>
      </c>
      <c r="V226" s="276">
        <v>-26</v>
      </c>
      <c r="W226" s="277">
        <v>6711</v>
      </c>
      <c r="X226" s="275">
        <v>907</v>
      </c>
      <c r="Y226" s="275">
        <v>1868</v>
      </c>
      <c r="Z226" s="276">
        <v>3962</v>
      </c>
      <c r="AA226" s="285">
        <v>5314</v>
      </c>
      <c r="AB226" s="295">
        <v>6696.3997277799226</v>
      </c>
    </row>
    <row r="227" spans="1:28" ht="13.5" customHeight="1">
      <c r="A227" s="18">
        <v>15</v>
      </c>
      <c r="B227" s="19" t="s">
        <v>20</v>
      </c>
      <c r="C227" s="274">
        <v>1720</v>
      </c>
      <c r="D227" s="275">
        <v>10</v>
      </c>
      <c r="E227" s="275">
        <v>124</v>
      </c>
      <c r="F227" s="275">
        <v>0</v>
      </c>
      <c r="G227" s="275">
        <v>379</v>
      </c>
      <c r="H227" s="275">
        <v>536</v>
      </c>
      <c r="I227" s="275">
        <v>2079</v>
      </c>
      <c r="J227" s="275">
        <v>597</v>
      </c>
      <c r="K227" s="275">
        <v>439</v>
      </c>
      <c r="L227" s="275">
        <v>1031</v>
      </c>
      <c r="M227" s="275">
        <v>14</v>
      </c>
      <c r="N227" s="275">
        <v>89</v>
      </c>
      <c r="O227" s="275">
        <v>1977</v>
      </c>
      <c r="P227" s="275">
        <v>800</v>
      </c>
      <c r="Q227" s="275">
        <v>1229</v>
      </c>
      <c r="R227" s="275">
        <v>1147</v>
      </c>
      <c r="S227" s="275">
        <v>2094</v>
      </c>
      <c r="T227" s="275">
        <v>1435</v>
      </c>
      <c r="U227" s="275">
        <v>15700</v>
      </c>
      <c r="V227" s="276">
        <v>-61</v>
      </c>
      <c r="W227" s="277">
        <v>15639</v>
      </c>
      <c r="X227" s="275">
        <v>1854</v>
      </c>
      <c r="Y227" s="275">
        <v>2458</v>
      </c>
      <c r="Z227" s="276">
        <v>11388</v>
      </c>
      <c r="AA227" s="285">
        <v>3440</v>
      </c>
      <c r="AB227" s="295">
        <v>15621.839736537337</v>
      </c>
    </row>
    <row r="228" spans="1:28" ht="13.5" customHeight="1">
      <c r="A228" s="18">
        <v>16</v>
      </c>
      <c r="B228" s="19" t="s">
        <v>21</v>
      </c>
      <c r="C228" s="274">
        <v>1170</v>
      </c>
      <c r="D228" s="275">
        <v>2</v>
      </c>
      <c r="E228" s="275">
        <v>478</v>
      </c>
      <c r="F228" s="275">
        <v>848</v>
      </c>
      <c r="G228" s="275">
        <v>1182</v>
      </c>
      <c r="H228" s="275">
        <v>1163</v>
      </c>
      <c r="I228" s="275">
        <v>3952</v>
      </c>
      <c r="J228" s="275">
        <v>1719</v>
      </c>
      <c r="K228" s="275">
        <v>1336</v>
      </c>
      <c r="L228" s="275">
        <v>2982</v>
      </c>
      <c r="M228" s="275">
        <v>0</v>
      </c>
      <c r="N228" s="275">
        <v>504</v>
      </c>
      <c r="O228" s="275">
        <v>3596</v>
      </c>
      <c r="P228" s="275">
        <v>1991</v>
      </c>
      <c r="Q228" s="275">
        <v>2032</v>
      </c>
      <c r="R228" s="275">
        <v>1928</v>
      </c>
      <c r="S228" s="275">
        <v>4666</v>
      </c>
      <c r="T228" s="275">
        <v>5803</v>
      </c>
      <c r="U228" s="275">
        <v>35352</v>
      </c>
      <c r="V228" s="276">
        <v>-140</v>
      </c>
      <c r="W228" s="277">
        <v>35212</v>
      </c>
      <c r="X228" s="275">
        <v>1650</v>
      </c>
      <c r="Y228" s="275">
        <v>5982</v>
      </c>
      <c r="Z228" s="276">
        <v>27720</v>
      </c>
      <c r="AA228" s="285">
        <v>4317</v>
      </c>
      <c r="AB228" s="295">
        <v>35230.248359284422</v>
      </c>
    </row>
    <row r="229" spans="1:28" ht="13.5" customHeight="1">
      <c r="A229" s="18">
        <v>17</v>
      </c>
      <c r="B229" s="19" t="s">
        <v>22</v>
      </c>
      <c r="C229" s="274">
        <v>766</v>
      </c>
      <c r="D229" s="275">
        <v>10</v>
      </c>
      <c r="E229" s="275">
        <v>280</v>
      </c>
      <c r="F229" s="275">
        <v>67</v>
      </c>
      <c r="G229" s="275">
        <v>423</v>
      </c>
      <c r="H229" s="275">
        <v>630</v>
      </c>
      <c r="I229" s="275">
        <v>7752</v>
      </c>
      <c r="J229" s="275">
        <v>1525</v>
      </c>
      <c r="K229" s="275">
        <v>1160</v>
      </c>
      <c r="L229" s="275">
        <v>10374</v>
      </c>
      <c r="M229" s="275">
        <v>158</v>
      </c>
      <c r="N229" s="275">
        <v>131</v>
      </c>
      <c r="O229" s="275">
        <v>4476</v>
      </c>
      <c r="P229" s="275">
        <v>2887</v>
      </c>
      <c r="Q229" s="275">
        <v>3515</v>
      </c>
      <c r="R229" s="275">
        <v>6553</v>
      </c>
      <c r="S229" s="275">
        <v>1715</v>
      </c>
      <c r="T229" s="275">
        <v>3908</v>
      </c>
      <c r="U229" s="275">
        <v>46330</v>
      </c>
      <c r="V229" s="276">
        <v>-182</v>
      </c>
      <c r="W229" s="277">
        <v>46148</v>
      </c>
      <c r="X229" s="275">
        <v>1056</v>
      </c>
      <c r="Y229" s="275">
        <v>8242</v>
      </c>
      <c r="Z229" s="276">
        <v>37032</v>
      </c>
      <c r="AA229" s="285">
        <v>4555</v>
      </c>
      <c r="AB229" s="295">
        <v>46081.41208610544</v>
      </c>
    </row>
    <row r="230" spans="1:28" ht="13.5" customHeight="1">
      <c r="A230" s="18">
        <v>18</v>
      </c>
      <c r="B230" s="19" t="s">
        <v>23</v>
      </c>
      <c r="C230" s="274">
        <v>666</v>
      </c>
      <c r="D230" s="275">
        <v>2</v>
      </c>
      <c r="E230" s="275">
        <v>158</v>
      </c>
      <c r="F230" s="275">
        <v>22</v>
      </c>
      <c r="G230" s="275">
        <v>181</v>
      </c>
      <c r="H230" s="275">
        <v>482</v>
      </c>
      <c r="I230" s="275">
        <v>1921</v>
      </c>
      <c r="J230" s="275">
        <v>456</v>
      </c>
      <c r="K230" s="275">
        <v>1669</v>
      </c>
      <c r="L230" s="275">
        <v>277</v>
      </c>
      <c r="M230" s="275">
        <v>1354</v>
      </c>
      <c r="N230" s="275">
        <v>41</v>
      </c>
      <c r="O230" s="275">
        <v>1464</v>
      </c>
      <c r="P230" s="275">
        <v>1448</v>
      </c>
      <c r="Q230" s="275">
        <v>1435</v>
      </c>
      <c r="R230" s="275">
        <v>1119</v>
      </c>
      <c r="S230" s="275">
        <v>2048</v>
      </c>
      <c r="T230" s="275">
        <v>908</v>
      </c>
      <c r="U230" s="275">
        <v>15651</v>
      </c>
      <c r="V230" s="276">
        <v>-62</v>
      </c>
      <c r="W230" s="277">
        <v>15589</v>
      </c>
      <c r="X230" s="275">
        <v>826</v>
      </c>
      <c r="Y230" s="275">
        <v>2124</v>
      </c>
      <c r="Z230" s="276">
        <v>12701</v>
      </c>
      <c r="AA230" s="285">
        <v>5581</v>
      </c>
      <c r="AB230" s="295">
        <v>15612.622794821955</v>
      </c>
    </row>
    <row r="231" spans="1:28" ht="13.5" customHeight="1">
      <c r="A231" s="18">
        <v>19</v>
      </c>
      <c r="B231" s="19" t="s">
        <v>24</v>
      </c>
      <c r="C231" s="274">
        <v>743</v>
      </c>
      <c r="D231" s="275">
        <v>0</v>
      </c>
      <c r="E231" s="275">
        <v>67</v>
      </c>
      <c r="F231" s="275">
        <v>22</v>
      </c>
      <c r="G231" s="275">
        <v>608</v>
      </c>
      <c r="H231" s="275">
        <v>11565</v>
      </c>
      <c r="I231" s="275">
        <v>4209</v>
      </c>
      <c r="J231" s="275">
        <v>1085</v>
      </c>
      <c r="K231" s="275">
        <v>2276</v>
      </c>
      <c r="L231" s="275">
        <v>952</v>
      </c>
      <c r="M231" s="275">
        <v>283</v>
      </c>
      <c r="N231" s="275">
        <v>287</v>
      </c>
      <c r="O231" s="275">
        <v>3571</v>
      </c>
      <c r="P231" s="275">
        <v>471</v>
      </c>
      <c r="Q231" s="275">
        <v>1977</v>
      </c>
      <c r="R231" s="275">
        <v>1409</v>
      </c>
      <c r="S231" s="275">
        <v>5298</v>
      </c>
      <c r="T231" s="275">
        <v>1259</v>
      </c>
      <c r="U231" s="275">
        <v>36082</v>
      </c>
      <c r="V231" s="276">
        <v>-142</v>
      </c>
      <c r="W231" s="277">
        <v>35940</v>
      </c>
      <c r="X231" s="275">
        <v>810</v>
      </c>
      <c r="Y231" s="275">
        <v>4839</v>
      </c>
      <c r="Z231" s="276">
        <v>30433</v>
      </c>
      <c r="AA231" s="285">
        <v>6387</v>
      </c>
      <c r="AB231" s="295">
        <v>36555.286725622755</v>
      </c>
    </row>
    <row r="232" spans="1:28" ht="13.5" customHeight="1">
      <c r="A232" s="20">
        <v>20</v>
      </c>
      <c r="B232" s="21" t="s">
        <v>25</v>
      </c>
      <c r="C232" s="278">
        <v>1939</v>
      </c>
      <c r="D232" s="279">
        <v>2</v>
      </c>
      <c r="E232" s="279">
        <v>189</v>
      </c>
      <c r="F232" s="279">
        <v>0</v>
      </c>
      <c r="G232" s="279">
        <v>504</v>
      </c>
      <c r="H232" s="279">
        <v>308</v>
      </c>
      <c r="I232" s="279">
        <v>3452</v>
      </c>
      <c r="J232" s="279">
        <v>669</v>
      </c>
      <c r="K232" s="279">
        <v>523</v>
      </c>
      <c r="L232" s="279">
        <v>552</v>
      </c>
      <c r="M232" s="279">
        <v>41</v>
      </c>
      <c r="N232" s="279">
        <v>18</v>
      </c>
      <c r="O232" s="279">
        <v>1143</v>
      </c>
      <c r="P232" s="279">
        <v>290</v>
      </c>
      <c r="Q232" s="279">
        <v>1184</v>
      </c>
      <c r="R232" s="279">
        <v>579</v>
      </c>
      <c r="S232" s="279">
        <v>836</v>
      </c>
      <c r="T232" s="279">
        <v>654</v>
      </c>
      <c r="U232" s="279">
        <v>12883</v>
      </c>
      <c r="V232" s="280">
        <v>-51</v>
      </c>
      <c r="W232" s="281">
        <v>12832</v>
      </c>
      <c r="X232" s="279">
        <v>2130</v>
      </c>
      <c r="Y232" s="279">
        <v>3956</v>
      </c>
      <c r="Z232" s="280">
        <v>6797</v>
      </c>
      <c r="AA232" s="286">
        <v>4520</v>
      </c>
      <c r="AB232" s="296">
        <v>12805.38388551722</v>
      </c>
    </row>
    <row r="233" spans="1:28" ht="13.5" customHeight="1">
      <c r="A233" s="18">
        <v>21</v>
      </c>
      <c r="B233" s="19" t="s">
        <v>26</v>
      </c>
      <c r="C233" s="270">
        <v>1057</v>
      </c>
      <c r="D233" s="271">
        <v>5</v>
      </c>
      <c r="E233" s="271">
        <v>116</v>
      </c>
      <c r="F233" s="271">
        <v>134</v>
      </c>
      <c r="G233" s="271">
        <v>4095</v>
      </c>
      <c r="H233" s="271">
        <v>1841</v>
      </c>
      <c r="I233" s="271">
        <v>6950</v>
      </c>
      <c r="J233" s="271">
        <v>3699</v>
      </c>
      <c r="K233" s="271">
        <v>908</v>
      </c>
      <c r="L233" s="271">
        <v>3394</v>
      </c>
      <c r="M233" s="271">
        <v>38</v>
      </c>
      <c r="N233" s="271">
        <v>635</v>
      </c>
      <c r="O233" s="271">
        <v>13799</v>
      </c>
      <c r="P233" s="271">
        <v>2032</v>
      </c>
      <c r="Q233" s="271">
        <v>3103</v>
      </c>
      <c r="R233" s="271">
        <v>3837</v>
      </c>
      <c r="S233" s="271">
        <v>5458</v>
      </c>
      <c r="T233" s="271">
        <v>5977</v>
      </c>
      <c r="U233" s="271">
        <v>57078</v>
      </c>
      <c r="V233" s="272">
        <v>-224</v>
      </c>
      <c r="W233" s="273">
        <v>56854</v>
      </c>
      <c r="X233" s="271">
        <v>1178</v>
      </c>
      <c r="Y233" s="271">
        <v>11179</v>
      </c>
      <c r="Z233" s="272">
        <v>44721</v>
      </c>
      <c r="AA233" s="284">
        <v>4545</v>
      </c>
      <c r="AB233" s="294">
        <v>56854.531656283747</v>
      </c>
    </row>
    <row r="234" spans="1:28" ht="13.5" customHeight="1">
      <c r="A234" s="18">
        <v>22</v>
      </c>
      <c r="B234" s="19" t="s">
        <v>27</v>
      </c>
      <c r="C234" s="274">
        <v>44</v>
      </c>
      <c r="D234" s="275">
        <v>0</v>
      </c>
      <c r="E234" s="275">
        <v>4</v>
      </c>
      <c r="F234" s="275">
        <v>0</v>
      </c>
      <c r="G234" s="275">
        <v>901</v>
      </c>
      <c r="H234" s="275">
        <v>824</v>
      </c>
      <c r="I234" s="275">
        <v>3407</v>
      </c>
      <c r="J234" s="275">
        <v>1674</v>
      </c>
      <c r="K234" s="275">
        <v>470</v>
      </c>
      <c r="L234" s="275">
        <v>953</v>
      </c>
      <c r="M234" s="275">
        <v>732</v>
      </c>
      <c r="N234" s="275">
        <v>1645</v>
      </c>
      <c r="O234" s="275">
        <v>4063</v>
      </c>
      <c r="P234" s="275">
        <v>2829</v>
      </c>
      <c r="Q234" s="275">
        <v>10270</v>
      </c>
      <c r="R234" s="275">
        <v>1854</v>
      </c>
      <c r="S234" s="275">
        <v>4020</v>
      </c>
      <c r="T234" s="275">
        <v>1811</v>
      </c>
      <c r="U234" s="275">
        <v>35501</v>
      </c>
      <c r="V234" s="276">
        <v>-140</v>
      </c>
      <c r="W234" s="277">
        <v>35361</v>
      </c>
      <c r="X234" s="275">
        <v>48</v>
      </c>
      <c r="Y234" s="275">
        <v>4308</v>
      </c>
      <c r="Z234" s="276">
        <v>31145</v>
      </c>
      <c r="AA234" s="285">
        <v>4598</v>
      </c>
      <c r="AB234" s="295">
        <v>35384.269935888777</v>
      </c>
    </row>
    <row r="235" spans="1:28" ht="13.5" customHeight="1">
      <c r="A235" s="18">
        <v>23</v>
      </c>
      <c r="B235" s="19" t="s">
        <v>28</v>
      </c>
      <c r="C235" s="274">
        <v>1</v>
      </c>
      <c r="D235" s="275">
        <v>0</v>
      </c>
      <c r="E235" s="275">
        <v>78</v>
      </c>
      <c r="F235" s="275">
        <v>22</v>
      </c>
      <c r="G235" s="275">
        <v>461</v>
      </c>
      <c r="H235" s="275">
        <v>5495</v>
      </c>
      <c r="I235" s="275">
        <v>7613</v>
      </c>
      <c r="J235" s="275">
        <v>8330</v>
      </c>
      <c r="K235" s="275">
        <v>836</v>
      </c>
      <c r="L235" s="275">
        <v>5729</v>
      </c>
      <c r="M235" s="275">
        <v>2137</v>
      </c>
      <c r="N235" s="275">
        <v>2508</v>
      </c>
      <c r="O235" s="275">
        <v>14733</v>
      </c>
      <c r="P235" s="275">
        <v>7134</v>
      </c>
      <c r="Q235" s="275">
        <v>2772</v>
      </c>
      <c r="R235" s="275">
        <v>2878</v>
      </c>
      <c r="S235" s="275">
        <v>6015</v>
      </c>
      <c r="T235" s="275">
        <v>6567</v>
      </c>
      <c r="U235" s="275">
        <v>73309</v>
      </c>
      <c r="V235" s="276">
        <v>-289</v>
      </c>
      <c r="W235" s="277">
        <v>73020</v>
      </c>
      <c r="X235" s="275">
        <v>79</v>
      </c>
      <c r="Y235" s="275">
        <v>8096</v>
      </c>
      <c r="Z235" s="276">
        <v>65134</v>
      </c>
      <c r="AA235" s="285">
        <v>5285</v>
      </c>
      <c r="AB235" s="295">
        <v>73283.885650412994</v>
      </c>
    </row>
    <row r="236" spans="1:28" ht="13.5" customHeight="1">
      <c r="A236" s="18">
        <v>24</v>
      </c>
      <c r="B236" s="19" t="s">
        <v>29</v>
      </c>
      <c r="C236" s="274">
        <v>28</v>
      </c>
      <c r="D236" s="275">
        <v>0</v>
      </c>
      <c r="E236" s="275">
        <v>76</v>
      </c>
      <c r="F236" s="275">
        <v>0</v>
      </c>
      <c r="G236" s="275">
        <v>315</v>
      </c>
      <c r="H236" s="275">
        <v>767</v>
      </c>
      <c r="I236" s="275">
        <v>3744</v>
      </c>
      <c r="J236" s="275">
        <v>2517</v>
      </c>
      <c r="K236" s="275">
        <v>1214</v>
      </c>
      <c r="L236" s="275">
        <v>2674</v>
      </c>
      <c r="M236" s="275">
        <v>382</v>
      </c>
      <c r="N236" s="275">
        <v>610</v>
      </c>
      <c r="O236" s="275">
        <v>5811</v>
      </c>
      <c r="P236" s="275">
        <v>1712</v>
      </c>
      <c r="Q236" s="275">
        <v>1369</v>
      </c>
      <c r="R236" s="275">
        <v>3555</v>
      </c>
      <c r="S236" s="275">
        <v>6176</v>
      </c>
      <c r="T236" s="275">
        <v>2182</v>
      </c>
      <c r="U236" s="275">
        <v>33132</v>
      </c>
      <c r="V236" s="276">
        <v>-130</v>
      </c>
      <c r="W236" s="277">
        <v>33002</v>
      </c>
      <c r="X236" s="275">
        <v>104</v>
      </c>
      <c r="Y236" s="275">
        <v>4059</v>
      </c>
      <c r="Z236" s="276">
        <v>28969</v>
      </c>
      <c r="AA236" s="285">
        <v>4405</v>
      </c>
      <c r="AB236" s="295">
        <v>33010.267146413316</v>
      </c>
    </row>
    <row r="237" spans="1:28" ht="13.5" customHeight="1">
      <c r="A237" s="18">
        <v>25</v>
      </c>
      <c r="B237" s="19" t="s">
        <v>30</v>
      </c>
      <c r="C237" s="274">
        <v>232</v>
      </c>
      <c r="D237" s="275">
        <v>0</v>
      </c>
      <c r="E237" s="275">
        <v>20</v>
      </c>
      <c r="F237" s="275">
        <v>223</v>
      </c>
      <c r="G237" s="275">
        <v>5097</v>
      </c>
      <c r="H237" s="275">
        <v>15021</v>
      </c>
      <c r="I237" s="275">
        <v>5111</v>
      </c>
      <c r="J237" s="275">
        <v>3319</v>
      </c>
      <c r="K237" s="275">
        <v>1286</v>
      </c>
      <c r="L237" s="275">
        <v>673</v>
      </c>
      <c r="M237" s="275">
        <v>995</v>
      </c>
      <c r="N237" s="275">
        <v>425</v>
      </c>
      <c r="O237" s="275">
        <v>6365</v>
      </c>
      <c r="P237" s="275">
        <v>1795</v>
      </c>
      <c r="Q237" s="275">
        <v>1349</v>
      </c>
      <c r="R237" s="275">
        <v>1589</v>
      </c>
      <c r="S237" s="275">
        <v>9009</v>
      </c>
      <c r="T237" s="275">
        <v>3301</v>
      </c>
      <c r="U237" s="275">
        <v>55810</v>
      </c>
      <c r="V237" s="276">
        <v>-219</v>
      </c>
      <c r="W237" s="277">
        <v>55591</v>
      </c>
      <c r="X237" s="275">
        <v>252</v>
      </c>
      <c r="Y237" s="275">
        <v>10431</v>
      </c>
      <c r="Z237" s="276">
        <v>45127</v>
      </c>
      <c r="AA237" s="285">
        <v>6821</v>
      </c>
      <c r="AB237" s="295">
        <v>56344.841117271091</v>
      </c>
    </row>
    <row r="238" spans="1:28" ht="13.5" customHeight="1">
      <c r="A238" s="20">
        <v>26</v>
      </c>
      <c r="B238" s="21" t="s">
        <v>31</v>
      </c>
      <c r="C238" s="278">
        <v>193</v>
      </c>
      <c r="D238" s="279">
        <v>2</v>
      </c>
      <c r="E238" s="279">
        <v>104</v>
      </c>
      <c r="F238" s="279">
        <v>0</v>
      </c>
      <c r="G238" s="279">
        <v>27351</v>
      </c>
      <c r="H238" s="279">
        <v>4665</v>
      </c>
      <c r="I238" s="279">
        <v>6449</v>
      </c>
      <c r="J238" s="279">
        <v>13827</v>
      </c>
      <c r="K238" s="279">
        <v>5626</v>
      </c>
      <c r="L238" s="279">
        <v>1769</v>
      </c>
      <c r="M238" s="279">
        <v>417</v>
      </c>
      <c r="N238" s="279">
        <v>1225</v>
      </c>
      <c r="O238" s="279">
        <v>9134</v>
      </c>
      <c r="P238" s="279">
        <v>3699</v>
      </c>
      <c r="Q238" s="279">
        <v>2532</v>
      </c>
      <c r="R238" s="279">
        <v>21441</v>
      </c>
      <c r="S238" s="279">
        <v>15927</v>
      </c>
      <c r="T238" s="279">
        <v>4776</v>
      </c>
      <c r="U238" s="279">
        <v>119137</v>
      </c>
      <c r="V238" s="280">
        <v>-469</v>
      </c>
      <c r="W238" s="281">
        <v>118668</v>
      </c>
      <c r="X238" s="279">
        <v>299</v>
      </c>
      <c r="Y238" s="279">
        <v>33800</v>
      </c>
      <c r="Z238" s="280">
        <v>85038</v>
      </c>
      <c r="AA238" s="286">
        <v>5647</v>
      </c>
      <c r="AB238" s="296">
        <v>118602.91496492583</v>
      </c>
    </row>
    <row r="239" spans="1:28" ht="13.5" customHeight="1">
      <c r="A239" s="18">
        <v>27</v>
      </c>
      <c r="B239" s="19" t="s">
        <v>32</v>
      </c>
      <c r="C239" s="270">
        <v>201</v>
      </c>
      <c r="D239" s="271">
        <v>0</v>
      </c>
      <c r="E239" s="271">
        <v>303</v>
      </c>
      <c r="F239" s="271">
        <v>0</v>
      </c>
      <c r="G239" s="271">
        <v>642</v>
      </c>
      <c r="H239" s="271">
        <v>677</v>
      </c>
      <c r="I239" s="271">
        <v>5371</v>
      </c>
      <c r="J239" s="271">
        <v>4698</v>
      </c>
      <c r="K239" s="271">
        <v>748</v>
      </c>
      <c r="L239" s="271">
        <v>1288</v>
      </c>
      <c r="M239" s="271">
        <v>335</v>
      </c>
      <c r="N239" s="271">
        <v>1549</v>
      </c>
      <c r="O239" s="271">
        <v>6035</v>
      </c>
      <c r="P239" s="271">
        <v>1053</v>
      </c>
      <c r="Q239" s="271">
        <v>2837</v>
      </c>
      <c r="R239" s="271">
        <v>2782</v>
      </c>
      <c r="S239" s="271">
        <v>6116</v>
      </c>
      <c r="T239" s="271">
        <v>1940</v>
      </c>
      <c r="U239" s="271">
        <v>36575</v>
      </c>
      <c r="V239" s="272">
        <v>-144</v>
      </c>
      <c r="W239" s="273">
        <v>36431</v>
      </c>
      <c r="X239" s="271">
        <v>504</v>
      </c>
      <c r="Y239" s="271">
        <v>6013</v>
      </c>
      <c r="Z239" s="272">
        <v>30058</v>
      </c>
      <c r="AA239" s="284">
        <v>5475</v>
      </c>
      <c r="AB239" s="294">
        <v>36437.184977474659</v>
      </c>
    </row>
    <row r="240" spans="1:28" ht="13.5" customHeight="1">
      <c r="A240" s="18">
        <v>28</v>
      </c>
      <c r="B240" s="19" t="s">
        <v>33</v>
      </c>
      <c r="C240" s="274">
        <v>809</v>
      </c>
      <c r="D240" s="275">
        <v>3</v>
      </c>
      <c r="E240" s="275">
        <v>0</v>
      </c>
      <c r="F240" s="275">
        <v>22</v>
      </c>
      <c r="G240" s="275">
        <v>3349</v>
      </c>
      <c r="H240" s="275">
        <v>2313</v>
      </c>
      <c r="I240" s="275">
        <v>10223</v>
      </c>
      <c r="J240" s="275">
        <v>12689</v>
      </c>
      <c r="K240" s="275">
        <v>3075</v>
      </c>
      <c r="L240" s="275">
        <v>2606</v>
      </c>
      <c r="M240" s="275">
        <v>298</v>
      </c>
      <c r="N240" s="275">
        <v>1521</v>
      </c>
      <c r="O240" s="275">
        <v>10945</v>
      </c>
      <c r="P240" s="275">
        <v>3948</v>
      </c>
      <c r="Q240" s="275">
        <v>2927</v>
      </c>
      <c r="R240" s="275">
        <v>4994</v>
      </c>
      <c r="S240" s="275">
        <v>24360</v>
      </c>
      <c r="T240" s="275">
        <v>6736</v>
      </c>
      <c r="U240" s="275">
        <v>90818</v>
      </c>
      <c r="V240" s="276">
        <v>-358</v>
      </c>
      <c r="W240" s="277">
        <v>90460</v>
      </c>
      <c r="X240" s="275">
        <v>812</v>
      </c>
      <c r="Y240" s="275">
        <v>13594</v>
      </c>
      <c r="Z240" s="276">
        <v>76412</v>
      </c>
      <c r="AA240" s="285">
        <v>5090</v>
      </c>
      <c r="AB240" s="295">
        <v>90465.070450854459</v>
      </c>
    </row>
    <row r="241" spans="1:28" ht="13.5" customHeight="1">
      <c r="A241" s="18">
        <v>29</v>
      </c>
      <c r="B241" s="19" t="s">
        <v>34</v>
      </c>
      <c r="C241" s="274">
        <v>3</v>
      </c>
      <c r="D241" s="275">
        <v>5</v>
      </c>
      <c r="E241" s="275">
        <v>16</v>
      </c>
      <c r="F241" s="275">
        <v>0</v>
      </c>
      <c r="G241" s="275">
        <v>103</v>
      </c>
      <c r="H241" s="275">
        <v>146</v>
      </c>
      <c r="I241" s="275">
        <v>852</v>
      </c>
      <c r="J241" s="275">
        <v>28</v>
      </c>
      <c r="K241" s="275">
        <v>228</v>
      </c>
      <c r="L241" s="275">
        <v>467</v>
      </c>
      <c r="M241" s="275">
        <v>0</v>
      </c>
      <c r="N241" s="275">
        <v>4</v>
      </c>
      <c r="O241" s="275">
        <v>107</v>
      </c>
      <c r="P241" s="275">
        <v>70</v>
      </c>
      <c r="Q241" s="275">
        <v>457</v>
      </c>
      <c r="R241" s="275">
        <v>325</v>
      </c>
      <c r="S241" s="275">
        <v>166</v>
      </c>
      <c r="T241" s="275">
        <v>546</v>
      </c>
      <c r="U241" s="275">
        <v>3523</v>
      </c>
      <c r="V241" s="276">
        <v>-14</v>
      </c>
      <c r="W241" s="277">
        <v>3509</v>
      </c>
      <c r="X241" s="275">
        <v>24</v>
      </c>
      <c r="Y241" s="275">
        <v>955</v>
      </c>
      <c r="Z241" s="276">
        <v>2544</v>
      </c>
      <c r="AA241" s="285">
        <v>6103</v>
      </c>
      <c r="AB241" s="295">
        <v>3512.5781017561144</v>
      </c>
    </row>
    <row r="242" spans="1:28" ht="13.5" customHeight="1">
      <c r="A242" s="18">
        <v>30</v>
      </c>
      <c r="B242" s="19" t="s">
        <v>35</v>
      </c>
      <c r="C242" s="274">
        <v>2</v>
      </c>
      <c r="D242" s="275">
        <v>0</v>
      </c>
      <c r="E242" s="275">
        <v>34</v>
      </c>
      <c r="F242" s="275">
        <v>0</v>
      </c>
      <c r="G242" s="275">
        <v>55</v>
      </c>
      <c r="H242" s="275">
        <v>133</v>
      </c>
      <c r="I242" s="275">
        <v>667</v>
      </c>
      <c r="J242" s="275">
        <v>96</v>
      </c>
      <c r="K242" s="275">
        <v>180</v>
      </c>
      <c r="L242" s="275">
        <v>707</v>
      </c>
      <c r="M242" s="275">
        <v>0</v>
      </c>
      <c r="N242" s="275">
        <v>8</v>
      </c>
      <c r="O242" s="275">
        <v>192</v>
      </c>
      <c r="P242" s="275">
        <v>137</v>
      </c>
      <c r="Q242" s="275">
        <v>448</v>
      </c>
      <c r="R242" s="275">
        <v>479</v>
      </c>
      <c r="S242" s="275">
        <v>197</v>
      </c>
      <c r="T242" s="275">
        <v>791</v>
      </c>
      <c r="U242" s="275">
        <v>4126</v>
      </c>
      <c r="V242" s="276">
        <v>-16</v>
      </c>
      <c r="W242" s="277">
        <v>4110</v>
      </c>
      <c r="X242" s="275">
        <v>36</v>
      </c>
      <c r="Y242" s="275">
        <v>722</v>
      </c>
      <c r="Z242" s="276">
        <v>3368</v>
      </c>
      <c r="AA242" s="285">
        <v>5983</v>
      </c>
      <c r="AB242" s="295">
        <v>4110.6493640988119</v>
      </c>
    </row>
    <row r="243" spans="1:28" ht="13.5" customHeight="1">
      <c r="A243" s="18">
        <v>31</v>
      </c>
      <c r="B243" s="19" t="s">
        <v>36</v>
      </c>
      <c r="C243" s="274">
        <v>63</v>
      </c>
      <c r="D243" s="275">
        <v>0</v>
      </c>
      <c r="E243" s="275">
        <v>13</v>
      </c>
      <c r="F243" s="275">
        <v>22</v>
      </c>
      <c r="G243" s="275">
        <v>130</v>
      </c>
      <c r="H243" s="275">
        <v>102</v>
      </c>
      <c r="I243" s="275">
        <v>192</v>
      </c>
      <c r="J243" s="275">
        <v>25</v>
      </c>
      <c r="K243" s="275">
        <v>131</v>
      </c>
      <c r="L243" s="275">
        <v>81</v>
      </c>
      <c r="M243" s="275">
        <v>0</v>
      </c>
      <c r="N243" s="275">
        <v>3</v>
      </c>
      <c r="O243" s="275">
        <v>201</v>
      </c>
      <c r="P243" s="275">
        <v>6</v>
      </c>
      <c r="Q243" s="275">
        <v>405</v>
      </c>
      <c r="R243" s="275">
        <v>245</v>
      </c>
      <c r="S243" s="275">
        <v>415</v>
      </c>
      <c r="T243" s="275">
        <v>77</v>
      </c>
      <c r="U243" s="275">
        <v>2111</v>
      </c>
      <c r="V243" s="276">
        <v>-8</v>
      </c>
      <c r="W243" s="277">
        <v>2103</v>
      </c>
      <c r="X243" s="275">
        <v>76</v>
      </c>
      <c r="Y243" s="275">
        <v>344</v>
      </c>
      <c r="Z243" s="276">
        <v>1691</v>
      </c>
      <c r="AA243" s="285">
        <v>4572</v>
      </c>
      <c r="AB243" s="295">
        <v>2105.4077634727896</v>
      </c>
    </row>
    <row r="244" spans="1:28" ht="13.5" customHeight="1">
      <c r="A244" s="18">
        <v>32</v>
      </c>
      <c r="B244" s="19" t="s">
        <v>37</v>
      </c>
      <c r="C244" s="274">
        <v>1</v>
      </c>
      <c r="D244" s="275">
        <v>0</v>
      </c>
      <c r="E244" s="275">
        <v>91</v>
      </c>
      <c r="F244" s="275">
        <v>0</v>
      </c>
      <c r="G244" s="275">
        <v>12</v>
      </c>
      <c r="H244" s="275">
        <v>50</v>
      </c>
      <c r="I244" s="275">
        <v>210</v>
      </c>
      <c r="J244" s="275">
        <v>16</v>
      </c>
      <c r="K244" s="275">
        <v>36</v>
      </c>
      <c r="L244" s="275">
        <v>45</v>
      </c>
      <c r="M244" s="275">
        <v>0</v>
      </c>
      <c r="N244" s="275">
        <v>4</v>
      </c>
      <c r="O244" s="275">
        <v>60</v>
      </c>
      <c r="P244" s="275">
        <v>0</v>
      </c>
      <c r="Q244" s="275">
        <v>280</v>
      </c>
      <c r="R244" s="275">
        <v>196</v>
      </c>
      <c r="S244" s="275">
        <v>133</v>
      </c>
      <c r="T244" s="275">
        <v>17</v>
      </c>
      <c r="U244" s="275">
        <v>1151</v>
      </c>
      <c r="V244" s="276">
        <v>-5</v>
      </c>
      <c r="W244" s="277">
        <v>1146</v>
      </c>
      <c r="X244" s="275">
        <v>92</v>
      </c>
      <c r="Y244" s="275">
        <v>222</v>
      </c>
      <c r="Z244" s="276">
        <v>837</v>
      </c>
      <c r="AA244" s="285">
        <v>3256</v>
      </c>
      <c r="AB244" s="295">
        <v>1147.8262232680572</v>
      </c>
    </row>
    <row r="245" spans="1:28" ht="13.5" customHeight="1">
      <c r="A245" s="18">
        <v>33</v>
      </c>
      <c r="B245" s="19" t="s">
        <v>38</v>
      </c>
      <c r="C245" s="274">
        <v>736</v>
      </c>
      <c r="D245" s="275">
        <v>0</v>
      </c>
      <c r="E245" s="275">
        <v>41</v>
      </c>
      <c r="F245" s="275">
        <v>89</v>
      </c>
      <c r="G245" s="275">
        <v>611</v>
      </c>
      <c r="H245" s="275">
        <v>221</v>
      </c>
      <c r="I245" s="275">
        <v>1781</v>
      </c>
      <c r="J245" s="275">
        <v>228</v>
      </c>
      <c r="K245" s="275">
        <v>81</v>
      </c>
      <c r="L245" s="275">
        <v>154</v>
      </c>
      <c r="M245" s="275">
        <v>0</v>
      </c>
      <c r="N245" s="275">
        <v>4</v>
      </c>
      <c r="O245" s="275">
        <v>109</v>
      </c>
      <c r="P245" s="275">
        <v>44</v>
      </c>
      <c r="Q245" s="275">
        <v>754</v>
      </c>
      <c r="R245" s="275">
        <v>292</v>
      </c>
      <c r="S245" s="275">
        <v>169</v>
      </c>
      <c r="T245" s="275">
        <v>150</v>
      </c>
      <c r="U245" s="275">
        <v>5464</v>
      </c>
      <c r="V245" s="276">
        <v>-21</v>
      </c>
      <c r="W245" s="277">
        <v>5443</v>
      </c>
      <c r="X245" s="275">
        <v>777</v>
      </c>
      <c r="Y245" s="275">
        <v>2481</v>
      </c>
      <c r="Z245" s="276">
        <v>2206</v>
      </c>
      <c r="AA245" s="285">
        <v>4975</v>
      </c>
      <c r="AB245" s="295">
        <v>5436.8449034322466</v>
      </c>
    </row>
    <row r="246" spans="1:28" ht="13.5" customHeight="1">
      <c r="A246" s="18">
        <v>34</v>
      </c>
      <c r="B246" s="19" t="s">
        <v>39</v>
      </c>
      <c r="C246" s="274">
        <v>262</v>
      </c>
      <c r="D246" s="275">
        <v>0</v>
      </c>
      <c r="E246" s="275">
        <v>13</v>
      </c>
      <c r="F246" s="275">
        <v>0</v>
      </c>
      <c r="G246" s="275">
        <v>252</v>
      </c>
      <c r="H246" s="275">
        <v>74</v>
      </c>
      <c r="I246" s="275">
        <v>2090</v>
      </c>
      <c r="J246" s="275">
        <v>57</v>
      </c>
      <c r="K246" s="275">
        <v>88</v>
      </c>
      <c r="L246" s="275">
        <v>140</v>
      </c>
      <c r="M246" s="275">
        <v>0</v>
      </c>
      <c r="N246" s="275">
        <v>9</v>
      </c>
      <c r="O246" s="275">
        <v>30</v>
      </c>
      <c r="P246" s="275">
        <v>6</v>
      </c>
      <c r="Q246" s="275">
        <v>367</v>
      </c>
      <c r="R246" s="275">
        <v>247</v>
      </c>
      <c r="S246" s="275">
        <v>137</v>
      </c>
      <c r="T246" s="275">
        <v>55</v>
      </c>
      <c r="U246" s="275">
        <v>3827</v>
      </c>
      <c r="V246" s="276">
        <v>-15</v>
      </c>
      <c r="W246" s="277">
        <v>3812</v>
      </c>
      <c r="X246" s="275">
        <v>275</v>
      </c>
      <c r="Y246" s="275">
        <v>2342</v>
      </c>
      <c r="Z246" s="276">
        <v>1210</v>
      </c>
      <c r="AA246" s="285">
        <v>6856</v>
      </c>
      <c r="AB246" s="295">
        <v>3808.5970181294069</v>
      </c>
    </row>
    <row r="247" spans="1:28" ht="13.5" customHeight="1">
      <c r="A247" s="18">
        <v>35</v>
      </c>
      <c r="B247" s="19" t="s">
        <v>40</v>
      </c>
      <c r="C247" s="274">
        <v>131</v>
      </c>
      <c r="D247" s="275">
        <v>3</v>
      </c>
      <c r="E247" s="275">
        <v>82</v>
      </c>
      <c r="F247" s="275">
        <v>0</v>
      </c>
      <c r="G247" s="275">
        <v>346</v>
      </c>
      <c r="H247" s="275">
        <v>105</v>
      </c>
      <c r="I247" s="275">
        <v>885</v>
      </c>
      <c r="J247" s="275">
        <v>215</v>
      </c>
      <c r="K247" s="275">
        <v>263</v>
      </c>
      <c r="L247" s="275">
        <v>110</v>
      </c>
      <c r="M247" s="275">
        <v>0</v>
      </c>
      <c r="N247" s="275">
        <v>9</v>
      </c>
      <c r="O247" s="275">
        <v>141</v>
      </c>
      <c r="P247" s="275">
        <v>105</v>
      </c>
      <c r="Q247" s="275">
        <v>641</v>
      </c>
      <c r="R247" s="275">
        <v>481</v>
      </c>
      <c r="S247" s="275">
        <v>176</v>
      </c>
      <c r="T247" s="275">
        <v>171</v>
      </c>
      <c r="U247" s="275">
        <v>3864</v>
      </c>
      <c r="V247" s="276">
        <v>-15</v>
      </c>
      <c r="W247" s="277">
        <v>3849</v>
      </c>
      <c r="X247" s="275">
        <v>216</v>
      </c>
      <c r="Y247" s="275">
        <v>1231</v>
      </c>
      <c r="Z247" s="276">
        <v>2417</v>
      </c>
      <c r="AA247" s="285">
        <v>4947</v>
      </c>
      <c r="AB247" s="295">
        <v>3849.4264838328982</v>
      </c>
    </row>
    <row r="248" spans="1:28" ht="13.5" customHeight="1">
      <c r="A248" s="18">
        <v>36</v>
      </c>
      <c r="B248" s="19" t="s">
        <v>41</v>
      </c>
      <c r="C248" s="274">
        <v>393</v>
      </c>
      <c r="D248" s="275">
        <v>0</v>
      </c>
      <c r="E248" s="275">
        <v>132</v>
      </c>
      <c r="F248" s="275">
        <v>0</v>
      </c>
      <c r="G248" s="275">
        <v>416</v>
      </c>
      <c r="H248" s="275">
        <v>44</v>
      </c>
      <c r="I248" s="275">
        <v>698</v>
      </c>
      <c r="J248" s="275">
        <v>163</v>
      </c>
      <c r="K248" s="275">
        <v>416</v>
      </c>
      <c r="L248" s="275">
        <v>193</v>
      </c>
      <c r="M248" s="275">
        <v>0</v>
      </c>
      <c r="N248" s="275">
        <v>4</v>
      </c>
      <c r="O248" s="275">
        <v>262</v>
      </c>
      <c r="P248" s="275">
        <v>32</v>
      </c>
      <c r="Q248" s="275">
        <v>688</v>
      </c>
      <c r="R248" s="275">
        <v>351</v>
      </c>
      <c r="S248" s="275">
        <v>375</v>
      </c>
      <c r="T248" s="275">
        <v>179</v>
      </c>
      <c r="U248" s="275">
        <v>4346</v>
      </c>
      <c r="V248" s="276">
        <v>-17</v>
      </c>
      <c r="W248" s="277">
        <v>4329</v>
      </c>
      <c r="X248" s="275">
        <v>525</v>
      </c>
      <c r="Y248" s="275">
        <v>1114</v>
      </c>
      <c r="Z248" s="276">
        <v>2707</v>
      </c>
      <c r="AA248" s="285">
        <v>4486</v>
      </c>
      <c r="AB248" s="295">
        <v>4318.6836303331165</v>
      </c>
    </row>
    <row r="249" spans="1:28" ht="13.5" customHeight="1">
      <c r="A249" s="18">
        <v>37</v>
      </c>
      <c r="B249" s="19" t="s">
        <v>49</v>
      </c>
      <c r="C249" s="274">
        <v>1308</v>
      </c>
      <c r="D249" s="275">
        <v>0</v>
      </c>
      <c r="E249" s="275">
        <v>650</v>
      </c>
      <c r="F249" s="275">
        <v>22</v>
      </c>
      <c r="G249" s="275">
        <v>2432</v>
      </c>
      <c r="H249" s="275">
        <v>1196</v>
      </c>
      <c r="I249" s="275">
        <v>2110</v>
      </c>
      <c r="J249" s="275">
        <v>1245</v>
      </c>
      <c r="K249" s="275">
        <v>1003</v>
      </c>
      <c r="L249" s="275">
        <v>1079</v>
      </c>
      <c r="M249" s="275">
        <v>0</v>
      </c>
      <c r="N249" s="275">
        <v>216</v>
      </c>
      <c r="O249" s="275">
        <v>1976</v>
      </c>
      <c r="P249" s="275">
        <v>705</v>
      </c>
      <c r="Q249" s="275">
        <v>3874</v>
      </c>
      <c r="R249" s="275">
        <v>1728</v>
      </c>
      <c r="S249" s="275">
        <v>1922</v>
      </c>
      <c r="T249" s="275">
        <v>1063</v>
      </c>
      <c r="U249" s="275">
        <v>22529</v>
      </c>
      <c r="V249" s="276">
        <v>-89</v>
      </c>
      <c r="W249" s="277">
        <v>22440</v>
      </c>
      <c r="X249" s="275">
        <v>1958</v>
      </c>
      <c r="Y249" s="275">
        <v>4564</v>
      </c>
      <c r="Z249" s="276">
        <v>16007</v>
      </c>
      <c r="AA249" s="285">
        <v>4581</v>
      </c>
      <c r="AB249" s="295">
        <v>22443.50262020628</v>
      </c>
    </row>
    <row r="250" spans="1:28" ht="13.5" customHeight="1">
      <c r="A250" s="20">
        <v>38</v>
      </c>
      <c r="B250" s="21" t="s">
        <v>50</v>
      </c>
      <c r="C250" s="278">
        <v>3059</v>
      </c>
      <c r="D250" s="279">
        <v>0</v>
      </c>
      <c r="E250" s="279">
        <v>203</v>
      </c>
      <c r="F250" s="279">
        <v>67</v>
      </c>
      <c r="G250" s="279">
        <v>1703</v>
      </c>
      <c r="H250" s="279">
        <v>1510</v>
      </c>
      <c r="I250" s="279">
        <v>5360</v>
      </c>
      <c r="J250" s="279">
        <v>3311</v>
      </c>
      <c r="K250" s="279">
        <v>1577</v>
      </c>
      <c r="L250" s="279">
        <v>754</v>
      </c>
      <c r="M250" s="279">
        <v>30</v>
      </c>
      <c r="N250" s="279">
        <v>432</v>
      </c>
      <c r="O250" s="279">
        <v>7755</v>
      </c>
      <c r="P250" s="279">
        <v>1953</v>
      </c>
      <c r="Q250" s="279">
        <v>6346</v>
      </c>
      <c r="R250" s="279">
        <v>5480</v>
      </c>
      <c r="S250" s="279">
        <v>10042</v>
      </c>
      <c r="T250" s="279">
        <v>2987</v>
      </c>
      <c r="U250" s="279">
        <v>52569</v>
      </c>
      <c r="V250" s="280">
        <v>-207</v>
      </c>
      <c r="W250" s="281">
        <v>52362</v>
      </c>
      <c r="X250" s="279">
        <v>3262</v>
      </c>
      <c r="Y250" s="279">
        <v>7130</v>
      </c>
      <c r="Z250" s="280">
        <v>42177</v>
      </c>
      <c r="AA250" s="286">
        <v>5141</v>
      </c>
      <c r="AB250" s="296">
        <v>52353.734956469401</v>
      </c>
    </row>
    <row r="251" spans="1:28" ht="13.5" customHeight="1">
      <c r="A251" s="20">
        <v>39</v>
      </c>
      <c r="B251" s="21" t="s">
        <v>42</v>
      </c>
      <c r="C251" s="266">
        <v>660</v>
      </c>
      <c r="D251" s="267">
        <v>0</v>
      </c>
      <c r="E251" s="267">
        <v>1</v>
      </c>
      <c r="F251" s="267">
        <v>0</v>
      </c>
      <c r="G251" s="267">
        <v>504</v>
      </c>
      <c r="H251" s="267">
        <v>75</v>
      </c>
      <c r="I251" s="267">
        <v>2020</v>
      </c>
      <c r="J251" s="267">
        <v>117</v>
      </c>
      <c r="K251" s="267">
        <v>169</v>
      </c>
      <c r="L251" s="267">
        <v>88</v>
      </c>
      <c r="M251" s="267">
        <v>0</v>
      </c>
      <c r="N251" s="267">
        <v>10</v>
      </c>
      <c r="O251" s="267">
        <v>214</v>
      </c>
      <c r="P251" s="267">
        <v>38</v>
      </c>
      <c r="Q251" s="267">
        <v>594</v>
      </c>
      <c r="R251" s="267">
        <v>324</v>
      </c>
      <c r="S251" s="267">
        <v>156</v>
      </c>
      <c r="T251" s="267">
        <v>106</v>
      </c>
      <c r="U251" s="267">
        <v>5076</v>
      </c>
      <c r="V251" s="268">
        <v>-20</v>
      </c>
      <c r="W251" s="269">
        <v>5056</v>
      </c>
      <c r="X251" s="267">
        <v>661</v>
      </c>
      <c r="Y251" s="267">
        <v>2524</v>
      </c>
      <c r="Z251" s="268">
        <v>1891</v>
      </c>
      <c r="AA251" s="283">
        <v>6723</v>
      </c>
      <c r="AB251" s="293">
        <v>5043.3983449497691</v>
      </c>
    </row>
    <row r="252" spans="1:28" ht="13.5" customHeight="1">
      <c r="A252" s="18">
        <v>40</v>
      </c>
      <c r="B252" s="19" t="s">
        <v>43</v>
      </c>
      <c r="C252" s="270">
        <v>1180</v>
      </c>
      <c r="D252" s="271">
        <v>9</v>
      </c>
      <c r="E252" s="271">
        <v>81</v>
      </c>
      <c r="F252" s="271">
        <v>0</v>
      </c>
      <c r="G252" s="271">
        <v>1288</v>
      </c>
      <c r="H252" s="271">
        <v>326</v>
      </c>
      <c r="I252" s="271">
        <v>2288</v>
      </c>
      <c r="J252" s="271">
        <v>366</v>
      </c>
      <c r="K252" s="271">
        <v>1390</v>
      </c>
      <c r="L252" s="271">
        <v>2492</v>
      </c>
      <c r="M252" s="271">
        <v>0</v>
      </c>
      <c r="N252" s="271">
        <v>23</v>
      </c>
      <c r="O252" s="271">
        <v>1044</v>
      </c>
      <c r="P252" s="271">
        <v>773</v>
      </c>
      <c r="Q252" s="271">
        <v>529</v>
      </c>
      <c r="R252" s="271">
        <v>1904</v>
      </c>
      <c r="S252" s="271">
        <v>473</v>
      </c>
      <c r="T252" s="271">
        <v>1991</v>
      </c>
      <c r="U252" s="271">
        <v>16157</v>
      </c>
      <c r="V252" s="272">
        <v>-64</v>
      </c>
      <c r="W252" s="273">
        <v>16093</v>
      </c>
      <c r="X252" s="271">
        <v>1270</v>
      </c>
      <c r="Y252" s="271">
        <v>3576</v>
      </c>
      <c r="Z252" s="272">
        <v>11311</v>
      </c>
      <c r="AA252" s="284">
        <v>5489</v>
      </c>
      <c r="AB252" s="294">
        <v>16060.432385316662</v>
      </c>
    </row>
    <row r="253" spans="1:28" ht="13.5" customHeight="1">
      <c r="A253" s="20">
        <v>41</v>
      </c>
      <c r="B253" s="21" t="s">
        <v>44</v>
      </c>
      <c r="C253" s="278">
        <v>199</v>
      </c>
      <c r="D253" s="279">
        <v>0</v>
      </c>
      <c r="E253" s="279">
        <v>105</v>
      </c>
      <c r="F253" s="279">
        <v>22</v>
      </c>
      <c r="G253" s="279">
        <v>638</v>
      </c>
      <c r="H253" s="279">
        <v>271</v>
      </c>
      <c r="I253" s="279">
        <v>5273</v>
      </c>
      <c r="J253" s="279">
        <v>177</v>
      </c>
      <c r="K253" s="279">
        <v>408</v>
      </c>
      <c r="L253" s="279">
        <v>425</v>
      </c>
      <c r="M253" s="279">
        <v>0</v>
      </c>
      <c r="N253" s="279">
        <v>5</v>
      </c>
      <c r="O253" s="279">
        <v>331</v>
      </c>
      <c r="P253" s="279">
        <v>138</v>
      </c>
      <c r="Q253" s="279">
        <v>741</v>
      </c>
      <c r="R253" s="279">
        <v>630</v>
      </c>
      <c r="S253" s="279">
        <v>410</v>
      </c>
      <c r="T253" s="279">
        <v>264</v>
      </c>
      <c r="U253" s="279">
        <v>10037</v>
      </c>
      <c r="V253" s="280">
        <v>-40</v>
      </c>
      <c r="W253" s="281">
        <v>9997</v>
      </c>
      <c r="X253" s="279">
        <v>304</v>
      </c>
      <c r="Y253" s="279">
        <v>5933</v>
      </c>
      <c r="Z253" s="280">
        <v>3800</v>
      </c>
      <c r="AA253" s="286">
        <v>5836</v>
      </c>
      <c r="AB253" s="296">
        <v>10002.244335375824</v>
      </c>
    </row>
    <row r="254" spans="1:28" ht="15.75" customHeight="1">
      <c r="A254" s="123" t="s">
        <v>146</v>
      </c>
      <c r="B254" s="7" t="s">
        <v>152</v>
      </c>
      <c r="C254" s="270">
        <v>14206</v>
      </c>
      <c r="D254" s="271">
        <v>214</v>
      </c>
      <c r="E254" s="271">
        <v>2173</v>
      </c>
      <c r="F254" s="271">
        <v>2300</v>
      </c>
      <c r="G254" s="271">
        <v>21153</v>
      </c>
      <c r="H254" s="271">
        <v>23605</v>
      </c>
      <c r="I254" s="271">
        <v>49627</v>
      </c>
      <c r="J254" s="271">
        <v>23151</v>
      </c>
      <c r="K254" s="271">
        <v>14038</v>
      </c>
      <c r="L254" s="271">
        <v>28076</v>
      </c>
      <c r="M254" s="271">
        <v>4317</v>
      </c>
      <c r="N254" s="271">
        <v>5802</v>
      </c>
      <c r="O254" s="271">
        <v>37341</v>
      </c>
      <c r="P254" s="271">
        <v>23038</v>
      </c>
      <c r="Q254" s="271">
        <v>28937</v>
      </c>
      <c r="R254" s="271">
        <v>30453</v>
      </c>
      <c r="S254" s="271">
        <v>51528</v>
      </c>
      <c r="T254" s="271">
        <v>24262</v>
      </c>
      <c r="U254" s="271">
        <v>384221</v>
      </c>
      <c r="V254" s="272">
        <v>-1512</v>
      </c>
      <c r="W254" s="273">
        <v>382709</v>
      </c>
      <c r="X254" s="271">
        <v>16593</v>
      </c>
      <c r="Y254" s="271">
        <v>73080</v>
      </c>
      <c r="Z254" s="272">
        <v>294548</v>
      </c>
      <c r="AA254" s="284">
        <v>5147</v>
      </c>
      <c r="AB254" s="294">
        <v>383326.3929266677</v>
      </c>
    </row>
    <row r="255" spans="1:28" ht="15.75" customHeight="1">
      <c r="A255" s="124" t="s">
        <v>147</v>
      </c>
      <c r="B255" s="17" t="s">
        <v>153</v>
      </c>
      <c r="C255" s="274">
        <v>5369</v>
      </c>
      <c r="D255" s="275">
        <v>11</v>
      </c>
      <c r="E255" s="275">
        <v>1752</v>
      </c>
      <c r="F255" s="275">
        <v>1406</v>
      </c>
      <c r="G255" s="275">
        <v>94972</v>
      </c>
      <c r="H255" s="275">
        <v>83799</v>
      </c>
      <c r="I255" s="275">
        <v>136712</v>
      </c>
      <c r="J255" s="275">
        <v>183685</v>
      </c>
      <c r="K255" s="275">
        <v>56342</v>
      </c>
      <c r="L255" s="275">
        <v>49348</v>
      </c>
      <c r="M255" s="275">
        <v>79737</v>
      </c>
      <c r="N255" s="275">
        <v>37000</v>
      </c>
      <c r="O255" s="275">
        <v>205416</v>
      </c>
      <c r="P255" s="275">
        <v>140074</v>
      </c>
      <c r="Q255" s="275">
        <v>87519</v>
      </c>
      <c r="R255" s="275">
        <v>99941</v>
      </c>
      <c r="S255" s="275">
        <v>191774</v>
      </c>
      <c r="T255" s="275">
        <v>91438</v>
      </c>
      <c r="U255" s="275">
        <v>1546295</v>
      </c>
      <c r="V255" s="276">
        <v>-6086</v>
      </c>
      <c r="W255" s="277">
        <v>1540209</v>
      </c>
      <c r="X255" s="275">
        <v>7132</v>
      </c>
      <c r="Y255" s="275">
        <v>233090</v>
      </c>
      <c r="Z255" s="276">
        <v>1306073</v>
      </c>
      <c r="AA255" s="285">
        <v>5938</v>
      </c>
      <c r="AB255" s="295">
        <v>1543623.9311494285</v>
      </c>
    </row>
    <row r="256" spans="1:28" ht="15.75" customHeight="1">
      <c r="A256" s="124" t="s">
        <v>148</v>
      </c>
      <c r="B256" s="17" t="s">
        <v>154</v>
      </c>
      <c r="C256" s="274">
        <v>14061</v>
      </c>
      <c r="D256" s="275">
        <v>15</v>
      </c>
      <c r="E256" s="275">
        <v>2993</v>
      </c>
      <c r="F256" s="275">
        <v>1115</v>
      </c>
      <c r="G256" s="275">
        <v>43232</v>
      </c>
      <c r="H256" s="275">
        <v>15716</v>
      </c>
      <c r="I256" s="275">
        <v>67594</v>
      </c>
      <c r="J256" s="275">
        <v>53928</v>
      </c>
      <c r="K256" s="275">
        <v>29412</v>
      </c>
      <c r="L256" s="275">
        <v>16859</v>
      </c>
      <c r="M256" s="275">
        <v>4696</v>
      </c>
      <c r="N256" s="275">
        <v>7884</v>
      </c>
      <c r="O256" s="275">
        <v>73419</v>
      </c>
      <c r="P256" s="275">
        <v>37075</v>
      </c>
      <c r="Q256" s="275">
        <v>41436</v>
      </c>
      <c r="R256" s="275">
        <v>35034</v>
      </c>
      <c r="S256" s="275">
        <v>97335</v>
      </c>
      <c r="T256" s="275">
        <v>33954</v>
      </c>
      <c r="U256" s="275">
        <v>575758</v>
      </c>
      <c r="V256" s="276">
        <v>-2268</v>
      </c>
      <c r="W256" s="277">
        <v>573490</v>
      </c>
      <c r="X256" s="275">
        <v>17069</v>
      </c>
      <c r="Y256" s="275">
        <v>111941</v>
      </c>
      <c r="Z256" s="276">
        <v>446748</v>
      </c>
      <c r="AA256" s="285">
        <v>5194</v>
      </c>
      <c r="AB256" s="295">
        <v>573460.78552532848</v>
      </c>
    </row>
    <row r="257" spans="1:28" ht="15.75" customHeight="1">
      <c r="A257" s="124" t="s">
        <v>149</v>
      </c>
      <c r="B257" s="17" t="s">
        <v>155</v>
      </c>
      <c r="C257" s="274">
        <v>253</v>
      </c>
      <c r="D257" s="275">
        <v>32</v>
      </c>
      <c r="E257" s="275">
        <v>2315</v>
      </c>
      <c r="F257" s="275">
        <v>379</v>
      </c>
      <c r="G257" s="275">
        <v>12549</v>
      </c>
      <c r="H257" s="275">
        <v>28872</v>
      </c>
      <c r="I257" s="275">
        <v>88860</v>
      </c>
      <c r="J257" s="275">
        <v>121597</v>
      </c>
      <c r="K257" s="275">
        <v>139059</v>
      </c>
      <c r="L257" s="275">
        <v>49946</v>
      </c>
      <c r="M257" s="275">
        <v>102547</v>
      </c>
      <c r="N257" s="275">
        <v>91748</v>
      </c>
      <c r="O257" s="275">
        <v>131726</v>
      </c>
      <c r="P257" s="275">
        <v>167190</v>
      </c>
      <c r="Q257" s="275">
        <v>189088</v>
      </c>
      <c r="R257" s="275">
        <v>38112</v>
      </c>
      <c r="S257" s="275">
        <v>105746</v>
      </c>
      <c r="T257" s="275">
        <v>58027</v>
      </c>
      <c r="U257" s="275">
        <v>1328046</v>
      </c>
      <c r="V257" s="276">
        <v>-5230</v>
      </c>
      <c r="W257" s="277">
        <v>1322816</v>
      </c>
      <c r="X257" s="275">
        <v>2600</v>
      </c>
      <c r="Y257" s="275">
        <v>101788</v>
      </c>
      <c r="Z257" s="276">
        <v>1223658</v>
      </c>
      <c r="AA257" s="285">
        <v>7417</v>
      </c>
      <c r="AB257" s="295">
        <v>1325062.247354089</v>
      </c>
    </row>
    <row r="258" spans="1:28" ht="15.75" customHeight="1">
      <c r="A258" s="124" t="s">
        <v>150</v>
      </c>
      <c r="B258" s="17" t="s">
        <v>156</v>
      </c>
      <c r="C258" s="274">
        <v>8123</v>
      </c>
      <c r="D258" s="275">
        <v>43</v>
      </c>
      <c r="E258" s="275">
        <v>727</v>
      </c>
      <c r="F258" s="275">
        <v>245</v>
      </c>
      <c r="G258" s="275">
        <v>9219</v>
      </c>
      <c r="H258" s="275">
        <v>6606</v>
      </c>
      <c r="I258" s="275">
        <v>16655</v>
      </c>
      <c r="J258" s="275">
        <v>18735</v>
      </c>
      <c r="K258" s="275">
        <v>7640</v>
      </c>
      <c r="L258" s="275">
        <v>7006</v>
      </c>
      <c r="M258" s="275">
        <v>2035</v>
      </c>
      <c r="N258" s="275">
        <v>2360</v>
      </c>
      <c r="O258" s="275">
        <v>14790</v>
      </c>
      <c r="P258" s="275">
        <v>11412</v>
      </c>
      <c r="Q258" s="275">
        <v>17517</v>
      </c>
      <c r="R258" s="275">
        <v>10548</v>
      </c>
      <c r="S258" s="275">
        <v>20172</v>
      </c>
      <c r="T258" s="275">
        <v>6451</v>
      </c>
      <c r="U258" s="275">
        <v>160284</v>
      </c>
      <c r="V258" s="276">
        <v>-631</v>
      </c>
      <c r="W258" s="277">
        <v>159653</v>
      </c>
      <c r="X258" s="275">
        <v>8893</v>
      </c>
      <c r="Y258" s="275">
        <v>26119</v>
      </c>
      <c r="Z258" s="276">
        <v>125272</v>
      </c>
      <c r="AA258" s="285">
        <v>5646</v>
      </c>
      <c r="AB258" s="295">
        <v>159743.27091636899</v>
      </c>
    </row>
    <row r="259" spans="1:28" ht="15.75" customHeight="1">
      <c r="A259" s="125" t="s">
        <v>151</v>
      </c>
      <c r="B259" s="117" t="s">
        <v>157</v>
      </c>
      <c r="C259" s="278">
        <v>6425</v>
      </c>
      <c r="D259" s="279">
        <v>35</v>
      </c>
      <c r="E259" s="279">
        <v>892</v>
      </c>
      <c r="F259" s="279">
        <v>245</v>
      </c>
      <c r="G259" s="279">
        <v>7399</v>
      </c>
      <c r="H259" s="279">
        <v>7519</v>
      </c>
      <c r="I259" s="279">
        <v>24111</v>
      </c>
      <c r="J259" s="279">
        <v>12766</v>
      </c>
      <c r="K259" s="279">
        <v>16252</v>
      </c>
      <c r="L259" s="279">
        <v>13807</v>
      </c>
      <c r="M259" s="279">
        <v>1878</v>
      </c>
      <c r="N259" s="279">
        <v>2715</v>
      </c>
      <c r="O259" s="279">
        <v>17381</v>
      </c>
      <c r="P259" s="279">
        <v>16260</v>
      </c>
      <c r="Q259" s="279">
        <v>19908</v>
      </c>
      <c r="R259" s="279">
        <v>11369</v>
      </c>
      <c r="S259" s="279">
        <v>13764</v>
      </c>
      <c r="T259" s="279">
        <v>9187</v>
      </c>
      <c r="U259" s="279">
        <v>181913</v>
      </c>
      <c r="V259" s="280">
        <v>-717</v>
      </c>
      <c r="W259" s="281">
        <v>181196</v>
      </c>
      <c r="X259" s="279">
        <v>7352</v>
      </c>
      <c r="Y259" s="279">
        <v>31755</v>
      </c>
      <c r="Z259" s="280">
        <v>142806</v>
      </c>
      <c r="AA259" s="286">
        <v>5700</v>
      </c>
      <c r="AB259" s="296">
        <v>181407.86754832647</v>
      </c>
    </row>
    <row r="260" spans="1:28" ht="15.75" customHeight="1">
      <c r="B260" s="25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2" spans="1:28" ht="13.5" customHeight="1">
      <c r="A262" s="56">
        <f>A210+1</f>
        <v>28</v>
      </c>
      <c r="B262" s="51" t="str">
        <f>IF(A262&lt;22,"令和"&amp;A262&amp;"年度","平成"&amp;A262&amp;"年度")</f>
        <v>平成28年度</v>
      </c>
      <c r="C262" s="4" t="s">
        <v>75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1"/>
      <c r="Y262" s="2"/>
      <c r="Z262" s="58"/>
      <c r="AA262" s="58"/>
      <c r="AB262" s="58"/>
    </row>
    <row r="263" spans="1:28" ht="45" customHeight="1">
      <c r="A263" s="198"/>
      <c r="B263" s="88"/>
      <c r="C263" s="89" t="s">
        <v>51</v>
      </c>
      <c r="D263" s="89" t="s">
        <v>52</v>
      </c>
      <c r="E263" s="89" t="s">
        <v>53</v>
      </c>
      <c r="F263" s="89" t="s">
        <v>54</v>
      </c>
      <c r="G263" s="89" t="s">
        <v>55</v>
      </c>
      <c r="H263" s="89" t="s">
        <v>56</v>
      </c>
      <c r="I263" s="89" t="s">
        <v>57</v>
      </c>
      <c r="J263" s="89" t="s">
        <v>58</v>
      </c>
      <c r="K263" s="89" t="s">
        <v>59</v>
      </c>
      <c r="L263" s="89" t="s">
        <v>60</v>
      </c>
      <c r="M263" s="89" t="s">
        <v>61</v>
      </c>
      <c r="N263" s="89" t="s">
        <v>62</v>
      </c>
      <c r="O263" s="89" t="s">
        <v>63</v>
      </c>
      <c r="P263" s="89" t="s">
        <v>64</v>
      </c>
      <c r="Q263" s="89" t="s">
        <v>65</v>
      </c>
      <c r="R263" s="89" t="s">
        <v>66</v>
      </c>
      <c r="S263" s="89" t="s">
        <v>67</v>
      </c>
      <c r="T263" s="89" t="s">
        <v>68</v>
      </c>
      <c r="U263" s="89" t="s">
        <v>70</v>
      </c>
      <c r="V263" s="90" t="s">
        <v>69</v>
      </c>
      <c r="W263" s="91" t="s">
        <v>71</v>
      </c>
      <c r="X263" s="89" t="s">
        <v>72</v>
      </c>
      <c r="Y263" s="89" t="s">
        <v>73</v>
      </c>
      <c r="Z263" s="89" t="s">
        <v>74</v>
      </c>
      <c r="AA263" s="282" t="s">
        <v>277</v>
      </c>
      <c r="AB263" s="292" t="s">
        <v>278</v>
      </c>
    </row>
    <row r="264" spans="1:28" ht="13.5" customHeight="1">
      <c r="A264" s="165" t="s">
        <v>160</v>
      </c>
      <c r="B264" s="22" t="s">
        <v>0</v>
      </c>
      <c r="C264" s="266">
        <v>66520</v>
      </c>
      <c r="D264" s="267">
        <v>354</v>
      </c>
      <c r="E264" s="267">
        <v>10808</v>
      </c>
      <c r="F264" s="267">
        <v>6137</v>
      </c>
      <c r="G264" s="267">
        <v>192470</v>
      </c>
      <c r="H264" s="267">
        <v>166785</v>
      </c>
      <c r="I264" s="267">
        <v>410145</v>
      </c>
      <c r="J264" s="267">
        <v>412091</v>
      </c>
      <c r="K264" s="267">
        <v>283439</v>
      </c>
      <c r="L264" s="267">
        <v>186420</v>
      </c>
      <c r="M264" s="267">
        <v>201078</v>
      </c>
      <c r="N264" s="267">
        <v>138298</v>
      </c>
      <c r="O264" s="267">
        <v>487225</v>
      </c>
      <c r="P264" s="267">
        <v>426594</v>
      </c>
      <c r="Q264" s="267">
        <v>391573</v>
      </c>
      <c r="R264" s="267">
        <v>227462</v>
      </c>
      <c r="S264" s="267">
        <v>497009</v>
      </c>
      <c r="T264" s="267">
        <v>225594</v>
      </c>
      <c r="U264" s="267">
        <v>4330002</v>
      </c>
      <c r="V264" s="268">
        <v>-22881</v>
      </c>
      <c r="W264" s="269">
        <v>4307121</v>
      </c>
      <c r="X264" s="267">
        <v>77682</v>
      </c>
      <c r="Y264" s="267">
        <v>608752</v>
      </c>
      <c r="Z264" s="268">
        <v>3643568</v>
      </c>
      <c r="AA264" s="283">
        <v>6128</v>
      </c>
      <c r="AB264" s="293">
        <v>4268329</v>
      </c>
    </row>
    <row r="265" spans="1:28" ht="13.5" customHeight="1">
      <c r="A265" s="16" t="s">
        <v>1</v>
      </c>
      <c r="B265" s="17" t="s">
        <v>2</v>
      </c>
      <c r="C265" s="270">
        <v>320</v>
      </c>
      <c r="D265" s="271">
        <v>35</v>
      </c>
      <c r="E265" s="271">
        <v>2263</v>
      </c>
      <c r="F265" s="271">
        <v>413</v>
      </c>
      <c r="G265" s="271">
        <v>9886</v>
      </c>
      <c r="H265" s="271">
        <v>31778</v>
      </c>
      <c r="I265" s="271">
        <v>101960</v>
      </c>
      <c r="J265" s="271">
        <v>120412</v>
      </c>
      <c r="K265" s="271">
        <v>152590</v>
      </c>
      <c r="L265" s="271">
        <v>55896</v>
      </c>
      <c r="M265" s="271">
        <v>106121</v>
      </c>
      <c r="N265" s="271">
        <v>84030</v>
      </c>
      <c r="O265" s="271">
        <v>133388</v>
      </c>
      <c r="P265" s="271">
        <v>180364</v>
      </c>
      <c r="Q265" s="271">
        <v>191890</v>
      </c>
      <c r="R265" s="271">
        <v>38199</v>
      </c>
      <c r="S265" s="271">
        <v>111237</v>
      </c>
      <c r="T265" s="271">
        <v>57055</v>
      </c>
      <c r="U265" s="271">
        <v>1377837</v>
      </c>
      <c r="V265" s="272">
        <v>-7277</v>
      </c>
      <c r="W265" s="273">
        <v>1370560</v>
      </c>
      <c r="X265" s="271">
        <v>2618</v>
      </c>
      <c r="Y265" s="271">
        <v>112259</v>
      </c>
      <c r="Z265" s="272">
        <v>1262960</v>
      </c>
      <c r="AA265" s="284">
        <v>7429</v>
      </c>
      <c r="AB265" s="294">
        <v>1360906.4742973633</v>
      </c>
    </row>
    <row r="266" spans="1:28" ht="13.5" customHeight="1">
      <c r="A266" s="18" t="s">
        <v>3</v>
      </c>
      <c r="B266" s="19" t="s">
        <v>4</v>
      </c>
      <c r="C266" s="274">
        <v>134</v>
      </c>
      <c r="D266" s="275">
        <v>0</v>
      </c>
      <c r="E266" s="275">
        <v>181</v>
      </c>
      <c r="F266" s="275">
        <v>516</v>
      </c>
      <c r="G266" s="275">
        <v>2715</v>
      </c>
      <c r="H266" s="275">
        <v>6600</v>
      </c>
      <c r="I266" s="275">
        <v>20117</v>
      </c>
      <c r="J266" s="275">
        <v>24169</v>
      </c>
      <c r="K266" s="275">
        <v>5762</v>
      </c>
      <c r="L266" s="275">
        <v>8287</v>
      </c>
      <c r="M266" s="275">
        <v>15479</v>
      </c>
      <c r="N266" s="275">
        <v>4478</v>
      </c>
      <c r="O266" s="275">
        <v>32990</v>
      </c>
      <c r="P266" s="275">
        <v>19095</v>
      </c>
      <c r="Q266" s="275">
        <v>8318</v>
      </c>
      <c r="R266" s="275">
        <v>14069</v>
      </c>
      <c r="S266" s="275">
        <v>20419</v>
      </c>
      <c r="T266" s="275">
        <v>12996</v>
      </c>
      <c r="U266" s="275">
        <v>196325</v>
      </c>
      <c r="V266" s="276">
        <v>-1037</v>
      </c>
      <c r="W266" s="277">
        <v>195288</v>
      </c>
      <c r="X266" s="275">
        <v>315</v>
      </c>
      <c r="Y266" s="275">
        <v>23348</v>
      </c>
      <c r="Z266" s="276">
        <v>172662</v>
      </c>
      <c r="AA266" s="285">
        <v>5406</v>
      </c>
      <c r="AB266" s="295">
        <v>194043.46228170663</v>
      </c>
    </row>
    <row r="267" spans="1:28" ht="13.5" customHeight="1">
      <c r="A267" s="18" t="s">
        <v>5</v>
      </c>
      <c r="B267" s="19" t="s">
        <v>6</v>
      </c>
      <c r="C267" s="274">
        <v>6995</v>
      </c>
      <c r="D267" s="275">
        <v>25</v>
      </c>
      <c r="E267" s="275">
        <v>690</v>
      </c>
      <c r="F267" s="275">
        <v>239</v>
      </c>
      <c r="G267" s="275">
        <v>5900</v>
      </c>
      <c r="H267" s="275">
        <v>6817</v>
      </c>
      <c r="I267" s="275">
        <v>14427</v>
      </c>
      <c r="J267" s="275">
        <v>12251</v>
      </c>
      <c r="K267" s="275">
        <v>15268</v>
      </c>
      <c r="L267" s="275">
        <v>11510</v>
      </c>
      <c r="M267" s="275">
        <v>2115</v>
      </c>
      <c r="N267" s="275">
        <v>2684</v>
      </c>
      <c r="O267" s="275">
        <v>15783</v>
      </c>
      <c r="P267" s="275">
        <v>16549</v>
      </c>
      <c r="Q267" s="275">
        <v>18840</v>
      </c>
      <c r="R267" s="275">
        <v>8841</v>
      </c>
      <c r="S267" s="275">
        <v>13508</v>
      </c>
      <c r="T267" s="275">
        <v>7282</v>
      </c>
      <c r="U267" s="275">
        <v>159724</v>
      </c>
      <c r="V267" s="276">
        <v>-844</v>
      </c>
      <c r="W267" s="277">
        <v>158880</v>
      </c>
      <c r="X267" s="275">
        <v>7710</v>
      </c>
      <c r="Y267" s="275">
        <v>20566</v>
      </c>
      <c r="Z267" s="276">
        <v>131448</v>
      </c>
      <c r="AA267" s="285">
        <v>5859</v>
      </c>
      <c r="AB267" s="295">
        <v>156472.75081192312</v>
      </c>
    </row>
    <row r="268" spans="1:28" ht="13.5" customHeight="1">
      <c r="A268" s="18" t="s">
        <v>7</v>
      </c>
      <c r="B268" s="19" t="s">
        <v>8</v>
      </c>
      <c r="C268" s="274">
        <v>34</v>
      </c>
      <c r="D268" s="275">
        <v>2</v>
      </c>
      <c r="E268" s="275">
        <v>218</v>
      </c>
      <c r="F268" s="275">
        <v>136</v>
      </c>
      <c r="G268" s="275">
        <v>20874</v>
      </c>
      <c r="H268" s="275">
        <v>15048</v>
      </c>
      <c r="I268" s="275">
        <v>25302</v>
      </c>
      <c r="J268" s="275">
        <v>77484</v>
      </c>
      <c r="K268" s="275">
        <v>22103</v>
      </c>
      <c r="L268" s="275">
        <v>7897</v>
      </c>
      <c r="M268" s="275">
        <v>40074</v>
      </c>
      <c r="N268" s="275">
        <v>9996</v>
      </c>
      <c r="O268" s="275">
        <v>37182</v>
      </c>
      <c r="P268" s="275">
        <v>49018</v>
      </c>
      <c r="Q268" s="275">
        <v>13426</v>
      </c>
      <c r="R268" s="275">
        <v>16904</v>
      </c>
      <c r="S268" s="275">
        <v>39259</v>
      </c>
      <c r="T268" s="275">
        <v>17379</v>
      </c>
      <c r="U268" s="275">
        <v>392336</v>
      </c>
      <c r="V268" s="276">
        <v>-2074</v>
      </c>
      <c r="W268" s="277">
        <v>390262</v>
      </c>
      <c r="X268" s="275">
        <v>254</v>
      </c>
      <c r="Y268" s="275">
        <v>46312</v>
      </c>
      <c r="Z268" s="276">
        <v>345770</v>
      </c>
      <c r="AA268" s="285">
        <v>6726</v>
      </c>
      <c r="AB268" s="295">
        <v>388079.30538144411</v>
      </c>
    </row>
    <row r="269" spans="1:28" ht="13.5" customHeight="1">
      <c r="A269" s="16" t="s">
        <v>9</v>
      </c>
      <c r="B269" s="17" t="s">
        <v>10</v>
      </c>
      <c r="C269" s="274">
        <v>3685</v>
      </c>
      <c r="D269" s="275">
        <v>80</v>
      </c>
      <c r="E269" s="275">
        <v>445</v>
      </c>
      <c r="F269" s="275">
        <v>1212</v>
      </c>
      <c r="G269" s="275">
        <v>16729</v>
      </c>
      <c r="H269" s="275">
        <v>7181</v>
      </c>
      <c r="I269" s="275">
        <v>15684</v>
      </c>
      <c r="J269" s="275">
        <v>16061</v>
      </c>
      <c r="K269" s="275">
        <v>5744</v>
      </c>
      <c r="L269" s="275">
        <v>12016</v>
      </c>
      <c r="M269" s="275">
        <v>2578</v>
      </c>
      <c r="N269" s="275">
        <v>4433</v>
      </c>
      <c r="O269" s="275">
        <v>19131</v>
      </c>
      <c r="P269" s="275">
        <v>13497</v>
      </c>
      <c r="Q269" s="275">
        <v>13371</v>
      </c>
      <c r="R269" s="275">
        <v>14552</v>
      </c>
      <c r="S269" s="275">
        <v>31494</v>
      </c>
      <c r="T269" s="275">
        <v>9030</v>
      </c>
      <c r="U269" s="275">
        <v>186923</v>
      </c>
      <c r="V269" s="276">
        <v>-987</v>
      </c>
      <c r="W269" s="277">
        <v>185936</v>
      </c>
      <c r="X269" s="275">
        <v>4210</v>
      </c>
      <c r="Y269" s="275">
        <v>33625</v>
      </c>
      <c r="Z269" s="276">
        <v>149088</v>
      </c>
      <c r="AA269" s="285">
        <v>5547</v>
      </c>
      <c r="AB269" s="295">
        <v>184054.77871854583</v>
      </c>
    </row>
    <row r="270" spans="1:28" ht="13.5" customHeight="1">
      <c r="A270" s="18" t="s">
        <v>11</v>
      </c>
      <c r="B270" s="19" t="s">
        <v>12</v>
      </c>
      <c r="C270" s="274">
        <v>4762</v>
      </c>
      <c r="D270" s="275">
        <v>1</v>
      </c>
      <c r="E270" s="275">
        <v>587</v>
      </c>
      <c r="F270" s="275">
        <v>745</v>
      </c>
      <c r="G270" s="275">
        <v>20884</v>
      </c>
      <c r="H270" s="275">
        <v>3531</v>
      </c>
      <c r="I270" s="275">
        <v>14004</v>
      </c>
      <c r="J270" s="275">
        <v>11282</v>
      </c>
      <c r="K270" s="275">
        <v>6601</v>
      </c>
      <c r="L270" s="275">
        <v>5515</v>
      </c>
      <c r="M270" s="275">
        <v>893</v>
      </c>
      <c r="N270" s="275">
        <v>1803</v>
      </c>
      <c r="O270" s="275">
        <v>16479</v>
      </c>
      <c r="P270" s="275">
        <v>4841</v>
      </c>
      <c r="Q270" s="275">
        <v>7761</v>
      </c>
      <c r="R270" s="275">
        <v>8394</v>
      </c>
      <c r="S270" s="275">
        <v>20851</v>
      </c>
      <c r="T270" s="275">
        <v>8587</v>
      </c>
      <c r="U270" s="275">
        <v>137521</v>
      </c>
      <c r="V270" s="276">
        <v>-727</v>
      </c>
      <c r="W270" s="277">
        <v>136794</v>
      </c>
      <c r="X270" s="275">
        <v>5350</v>
      </c>
      <c r="Y270" s="275">
        <v>35633</v>
      </c>
      <c r="Z270" s="276">
        <v>96538</v>
      </c>
      <c r="AA270" s="285">
        <v>4836</v>
      </c>
      <c r="AB270" s="295">
        <v>135052.72026724898</v>
      </c>
    </row>
    <row r="271" spans="1:28" ht="13.5" customHeight="1">
      <c r="A271" s="18" t="s">
        <v>13</v>
      </c>
      <c r="B271" s="19" t="s">
        <v>14</v>
      </c>
      <c r="C271" s="274">
        <v>1436</v>
      </c>
      <c r="D271" s="275">
        <v>2</v>
      </c>
      <c r="E271" s="275">
        <v>220</v>
      </c>
      <c r="F271" s="275">
        <v>141</v>
      </c>
      <c r="G271" s="275">
        <v>12177</v>
      </c>
      <c r="H271" s="275">
        <v>8681</v>
      </c>
      <c r="I271" s="275">
        <v>31898</v>
      </c>
      <c r="J271" s="275">
        <v>24336</v>
      </c>
      <c r="K271" s="275">
        <v>10434</v>
      </c>
      <c r="L271" s="275">
        <v>13313</v>
      </c>
      <c r="M271" s="275">
        <v>3517</v>
      </c>
      <c r="N271" s="275">
        <v>9487</v>
      </c>
      <c r="O271" s="275">
        <v>45421</v>
      </c>
      <c r="P271" s="275">
        <v>32050</v>
      </c>
      <c r="Q271" s="275">
        <v>26534</v>
      </c>
      <c r="R271" s="275">
        <v>19349</v>
      </c>
      <c r="S271" s="275">
        <v>57657</v>
      </c>
      <c r="T271" s="275">
        <v>20355</v>
      </c>
      <c r="U271" s="275">
        <v>317008</v>
      </c>
      <c r="V271" s="276">
        <v>-1675</v>
      </c>
      <c r="W271" s="277">
        <v>315333</v>
      </c>
      <c r="X271" s="275">
        <v>1658</v>
      </c>
      <c r="Y271" s="275">
        <v>44216</v>
      </c>
      <c r="Z271" s="276">
        <v>271134</v>
      </c>
      <c r="AA271" s="285">
        <v>5825</v>
      </c>
      <c r="AB271" s="295">
        <v>313150.84267275227</v>
      </c>
    </row>
    <row r="272" spans="1:28" ht="13.5" customHeight="1">
      <c r="A272" s="18" t="s">
        <v>15</v>
      </c>
      <c r="B272" s="19" t="s">
        <v>45</v>
      </c>
      <c r="C272" s="274">
        <v>1829</v>
      </c>
      <c r="D272" s="275">
        <v>3</v>
      </c>
      <c r="E272" s="275">
        <v>346</v>
      </c>
      <c r="F272" s="275">
        <v>113</v>
      </c>
      <c r="G272" s="275">
        <v>6097</v>
      </c>
      <c r="H272" s="275">
        <v>3723</v>
      </c>
      <c r="I272" s="275">
        <v>17363</v>
      </c>
      <c r="J272" s="275">
        <v>16103</v>
      </c>
      <c r="K272" s="275">
        <v>13109</v>
      </c>
      <c r="L272" s="275">
        <v>3629</v>
      </c>
      <c r="M272" s="275">
        <v>2997</v>
      </c>
      <c r="N272" s="275">
        <v>1932</v>
      </c>
      <c r="O272" s="275">
        <v>19338</v>
      </c>
      <c r="P272" s="275">
        <v>23572</v>
      </c>
      <c r="Q272" s="275">
        <v>5978</v>
      </c>
      <c r="R272" s="275">
        <v>7113</v>
      </c>
      <c r="S272" s="275">
        <v>25089</v>
      </c>
      <c r="T272" s="275">
        <v>7045</v>
      </c>
      <c r="U272" s="275">
        <v>155379</v>
      </c>
      <c r="V272" s="276">
        <v>-821</v>
      </c>
      <c r="W272" s="277">
        <v>154558</v>
      </c>
      <c r="X272" s="275">
        <v>2178</v>
      </c>
      <c r="Y272" s="275">
        <v>23573</v>
      </c>
      <c r="Z272" s="276">
        <v>129628</v>
      </c>
      <c r="AA272" s="285">
        <v>6117</v>
      </c>
      <c r="AB272" s="295">
        <v>153046.11957788348</v>
      </c>
    </row>
    <row r="273" spans="1:28" ht="13.5" customHeight="1">
      <c r="A273" s="18" t="s">
        <v>16</v>
      </c>
      <c r="B273" s="19" t="s">
        <v>46</v>
      </c>
      <c r="C273" s="274">
        <v>3118</v>
      </c>
      <c r="D273" s="275">
        <v>0</v>
      </c>
      <c r="E273" s="275">
        <v>816</v>
      </c>
      <c r="F273" s="275">
        <v>305</v>
      </c>
      <c r="G273" s="275">
        <v>24578</v>
      </c>
      <c r="H273" s="275">
        <v>24281</v>
      </c>
      <c r="I273" s="275">
        <v>25820</v>
      </c>
      <c r="J273" s="275">
        <v>23123</v>
      </c>
      <c r="K273" s="275">
        <v>9706</v>
      </c>
      <c r="L273" s="275">
        <v>7635</v>
      </c>
      <c r="M273" s="275">
        <v>18685</v>
      </c>
      <c r="N273" s="275">
        <v>4700</v>
      </c>
      <c r="O273" s="275">
        <v>38385</v>
      </c>
      <c r="P273" s="275">
        <v>34325</v>
      </c>
      <c r="Q273" s="275">
        <v>19256</v>
      </c>
      <c r="R273" s="275">
        <v>14944</v>
      </c>
      <c r="S273" s="275">
        <v>32445</v>
      </c>
      <c r="T273" s="275">
        <v>16117</v>
      </c>
      <c r="U273" s="275">
        <v>298239</v>
      </c>
      <c r="V273" s="276">
        <v>-1576</v>
      </c>
      <c r="W273" s="277">
        <v>296663</v>
      </c>
      <c r="X273" s="275">
        <v>3934</v>
      </c>
      <c r="Y273" s="275">
        <v>50703</v>
      </c>
      <c r="Z273" s="276">
        <v>243602</v>
      </c>
      <c r="AA273" s="285">
        <v>6486</v>
      </c>
      <c r="AB273" s="295">
        <v>294725.00364361145</v>
      </c>
    </row>
    <row r="274" spans="1:28" ht="13.5" customHeight="1">
      <c r="A274" s="18">
        <v>10</v>
      </c>
      <c r="B274" s="19" t="s">
        <v>47</v>
      </c>
      <c r="C274" s="274">
        <v>11500</v>
      </c>
      <c r="D274" s="275">
        <v>45</v>
      </c>
      <c r="E274" s="275">
        <v>736</v>
      </c>
      <c r="F274" s="275">
        <v>267</v>
      </c>
      <c r="G274" s="275">
        <v>11113</v>
      </c>
      <c r="H274" s="275">
        <v>6460</v>
      </c>
      <c r="I274" s="275">
        <v>19346</v>
      </c>
      <c r="J274" s="275">
        <v>18811</v>
      </c>
      <c r="K274" s="275">
        <v>8999</v>
      </c>
      <c r="L274" s="275">
        <v>7700</v>
      </c>
      <c r="M274" s="275">
        <v>1723</v>
      </c>
      <c r="N274" s="275">
        <v>2202</v>
      </c>
      <c r="O274" s="275">
        <v>14513</v>
      </c>
      <c r="P274" s="275">
        <v>12424</v>
      </c>
      <c r="Q274" s="275">
        <v>16727</v>
      </c>
      <c r="R274" s="275">
        <v>10009</v>
      </c>
      <c r="S274" s="275">
        <v>20723</v>
      </c>
      <c r="T274" s="275">
        <v>6593</v>
      </c>
      <c r="U274" s="275">
        <v>169891</v>
      </c>
      <c r="V274" s="276">
        <v>-898</v>
      </c>
      <c r="W274" s="277">
        <v>168993</v>
      </c>
      <c r="X274" s="275">
        <v>12281</v>
      </c>
      <c r="Y274" s="275">
        <v>30726</v>
      </c>
      <c r="Z274" s="276">
        <v>126884</v>
      </c>
      <c r="AA274" s="285">
        <v>5885</v>
      </c>
      <c r="AB274" s="295">
        <v>166127.58716748725</v>
      </c>
    </row>
    <row r="275" spans="1:28" ht="13.5" customHeight="1">
      <c r="A275" s="20">
        <v>11</v>
      </c>
      <c r="B275" s="21" t="s">
        <v>48</v>
      </c>
      <c r="C275" s="278">
        <v>3469</v>
      </c>
      <c r="D275" s="279">
        <v>3</v>
      </c>
      <c r="E275" s="279">
        <v>654</v>
      </c>
      <c r="F275" s="279">
        <v>80</v>
      </c>
      <c r="G275" s="279">
        <v>7987</v>
      </c>
      <c r="H275" s="279">
        <v>3133</v>
      </c>
      <c r="I275" s="279">
        <v>12973</v>
      </c>
      <c r="J275" s="279">
        <v>4266</v>
      </c>
      <c r="K275" s="279">
        <v>4022</v>
      </c>
      <c r="L275" s="279">
        <v>1919</v>
      </c>
      <c r="M275" s="279">
        <v>1291</v>
      </c>
      <c r="N275" s="279">
        <v>532</v>
      </c>
      <c r="O275" s="279">
        <v>11600</v>
      </c>
      <c r="P275" s="279">
        <v>2199</v>
      </c>
      <c r="Q275" s="279">
        <v>9117</v>
      </c>
      <c r="R275" s="279">
        <v>3253</v>
      </c>
      <c r="S275" s="279">
        <v>9312</v>
      </c>
      <c r="T275" s="279">
        <v>4944</v>
      </c>
      <c r="U275" s="279">
        <v>80754</v>
      </c>
      <c r="V275" s="280">
        <v>-427</v>
      </c>
      <c r="W275" s="281">
        <v>80327</v>
      </c>
      <c r="X275" s="279">
        <v>4126</v>
      </c>
      <c r="Y275" s="279">
        <v>21040</v>
      </c>
      <c r="Z275" s="280">
        <v>55588</v>
      </c>
      <c r="AA275" s="286">
        <v>4981</v>
      </c>
      <c r="AB275" s="296">
        <v>79290.762310718768</v>
      </c>
    </row>
    <row r="276" spans="1:28" ht="13.5" customHeight="1">
      <c r="A276" s="18">
        <v>12</v>
      </c>
      <c r="B276" s="19" t="s">
        <v>17</v>
      </c>
      <c r="C276" s="270">
        <v>2138</v>
      </c>
      <c r="D276" s="271">
        <v>89</v>
      </c>
      <c r="E276" s="271">
        <v>71</v>
      </c>
      <c r="F276" s="271">
        <v>211</v>
      </c>
      <c r="G276" s="271">
        <v>109</v>
      </c>
      <c r="H276" s="271">
        <v>439</v>
      </c>
      <c r="I276" s="271">
        <v>1553</v>
      </c>
      <c r="J276" s="271">
        <v>472</v>
      </c>
      <c r="K276" s="271">
        <v>150</v>
      </c>
      <c r="L276" s="271">
        <v>1714</v>
      </c>
      <c r="M276" s="271">
        <v>0</v>
      </c>
      <c r="N276" s="271">
        <v>127</v>
      </c>
      <c r="O276" s="271">
        <v>1077</v>
      </c>
      <c r="P276" s="271">
        <v>209</v>
      </c>
      <c r="Q276" s="271">
        <v>1376</v>
      </c>
      <c r="R276" s="271">
        <v>950</v>
      </c>
      <c r="S276" s="271">
        <v>865</v>
      </c>
      <c r="T276" s="271">
        <v>556</v>
      </c>
      <c r="U276" s="271">
        <v>12106</v>
      </c>
      <c r="V276" s="272">
        <v>-64</v>
      </c>
      <c r="W276" s="273">
        <v>12042</v>
      </c>
      <c r="X276" s="271">
        <v>2298</v>
      </c>
      <c r="Y276" s="271">
        <v>1873</v>
      </c>
      <c r="Z276" s="272">
        <v>7935</v>
      </c>
      <c r="AA276" s="284">
        <v>4045</v>
      </c>
      <c r="AB276" s="294">
        <v>11648.910928312736</v>
      </c>
    </row>
    <row r="277" spans="1:28" ht="13.5" customHeight="1">
      <c r="A277" s="18">
        <v>13</v>
      </c>
      <c r="B277" s="19" t="s">
        <v>18</v>
      </c>
      <c r="C277" s="274">
        <v>1786</v>
      </c>
      <c r="D277" s="275">
        <v>7</v>
      </c>
      <c r="E277" s="275">
        <v>245</v>
      </c>
      <c r="F277" s="275">
        <v>0</v>
      </c>
      <c r="G277" s="275">
        <v>234</v>
      </c>
      <c r="H277" s="275">
        <v>239</v>
      </c>
      <c r="I277" s="275">
        <v>1094</v>
      </c>
      <c r="J277" s="275">
        <v>187</v>
      </c>
      <c r="K277" s="275">
        <v>412</v>
      </c>
      <c r="L277" s="275">
        <v>86</v>
      </c>
      <c r="M277" s="275">
        <v>0</v>
      </c>
      <c r="N277" s="275">
        <v>3</v>
      </c>
      <c r="O277" s="275">
        <v>728</v>
      </c>
      <c r="P277" s="275">
        <v>234</v>
      </c>
      <c r="Q277" s="275">
        <v>784</v>
      </c>
      <c r="R277" s="275">
        <v>650</v>
      </c>
      <c r="S277" s="275">
        <v>891</v>
      </c>
      <c r="T277" s="275">
        <v>273</v>
      </c>
      <c r="U277" s="275">
        <v>7853</v>
      </c>
      <c r="V277" s="276">
        <v>-42</v>
      </c>
      <c r="W277" s="277">
        <v>7811</v>
      </c>
      <c r="X277" s="275">
        <v>2038</v>
      </c>
      <c r="Y277" s="275">
        <v>1328</v>
      </c>
      <c r="Z277" s="276">
        <v>4487</v>
      </c>
      <c r="AA277" s="285">
        <v>4401</v>
      </c>
      <c r="AB277" s="295">
        <v>7500.4031776992661</v>
      </c>
    </row>
    <row r="278" spans="1:28" ht="13.5" customHeight="1">
      <c r="A278" s="18">
        <v>14</v>
      </c>
      <c r="B278" s="19" t="s">
        <v>19</v>
      </c>
      <c r="C278" s="274">
        <v>876</v>
      </c>
      <c r="D278" s="275">
        <v>5</v>
      </c>
      <c r="E278" s="275">
        <v>34</v>
      </c>
      <c r="F278" s="275">
        <v>0</v>
      </c>
      <c r="G278" s="275">
        <v>405</v>
      </c>
      <c r="H278" s="275">
        <v>46</v>
      </c>
      <c r="I278" s="275">
        <v>1234</v>
      </c>
      <c r="J278" s="275">
        <v>105</v>
      </c>
      <c r="K278" s="275">
        <v>146</v>
      </c>
      <c r="L278" s="275">
        <v>262</v>
      </c>
      <c r="M278" s="275">
        <v>0</v>
      </c>
      <c r="N278" s="275">
        <v>3</v>
      </c>
      <c r="O278" s="275">
        <v>348</v>
      </c>
      <c r="P278" s="275">
        <v>1428</v>
      </c>
      <c r="Q278" s="275">
        <v>692</v>
      </c>
      <c r="R278" s="275">
        <v>648</v>
      </c>
      <c r="S278" s="275">
        <v>303</v>
      </c>
      <c r="T278" s="275">
        <v>234</v>
      </c>
      <c r="U278" s="275">
        <v>6769</v>
      </c>
      <c r="V278" s="276">
        <v>-36</v>
      </c>
      <c r="W278" s="277">
        <v>6733</v>
      </c>
      <c r="X278" s="275">
        <v>915</v>
      </c>
      <c r="Y278" s="275">
        <v>1639</v>
      </c>
      <c r="Z278" s="276">
        <v>4215</v>
      </c>
      <c r="AA278" s="285">
        <v>5335</v>
      </c>
      <c r="AB278" s="295">
        <v>6568.5867627910693</v>
      </c>
    </row>
    <row r="279" spans="1:28" ht="13.5" customHeight="1">
      <c r="A279" s="18">
        <v>15</v>
      </c>
      <c r="B279" s="19" t="s">
        <v>20</v>
      </c>
      <c r="C279" s="274">
        <v>2404</v>
      </c>
      <c r="D279" s="275">
        <v>9</v>
      </c>
      <c r="E279" s="275">
        <v>107</v>
      </c>
      <c r="F279" s="275">
        <v>5</v>
      </c>
      <c r="G279" s="275">
        <v>761</v>
      </c>
      <c r="H279" s="275">
        <v>596</v>
      </c>
      <c r="I279" s="275">
        <v>2979</v>
      </c>
      <c r="J279" s="275">
        <v>600</v>
      </c>
      <c r="K279" s="275">
        <v>480</v>
      </c>
      <c r="L279" s="275">
        <v>1312</v>
      </c>
      <c r="M279" s="275">
        <v>0</v>
      </c>
      <c r="N279" s="275">
        <v>87</v>
      </c>
      <c r="O279" s="275">
        <v>2022</v>
      </c>
      <c r="P279" s="275">
        <v>951</v>
      </c>
      <c r="Q279" s="275">
        <v>1208</v>
      </c>
      <c r="R279" s="275">
        <v>1176</v>
      </c>
      <c r="S279" s="275">
        <v>2290</v>
      </c>
      <c r="T279" s="275">
        <v>1506</v>
      </c>
      <c r="U279" s="275">
        <v>18493</v>
      </c>
      <c r="V279" s="276">
        <v>-98</v>
      </c>
      <c r="W279" s="277">
        <v>18395</v>
      </c>
      <c r="X279" s="275">
        <v>2520</v>
      </c>
      <c r="Y279" s="275">
        <v>3745</v>
      </c>
      <c r="Z279" s="276">
        <v>12228</v>
      </c>
      <c r="AA279" s="285">
        <v>3974</v>
      </c>
      <c r="AB279" s="295">
        <v>17938.327275082553</v>
      </c>
    </row>
    <row r="280" spans="1:28" ht="13.5" customHeight="1">
      <c r="A280" s="18">
        <v>16</v>
      </c>
      <c r="B280" s="19" t="s">
        <v>21</v>
      </c>
      <c r="C280" s="274">
        <v>1560</v>
      </c>
      <c r="D280" s="275">
        <v>2</v>
      </c>
      <c r="E280" s="275">
        <v>448</v>
      </c>
      <c r="F280" s="275">
        <v>919</v>
      </c>
      <c r="G280" s="275">
        <v>775</v>
      </c>
      <c r="H280" s="275">
        <v>1087</v>
      </c>
      <c r="I280" s="275">
        <v>5935</v>
      </c>
      <c r="J280" s="275">
        <v>1738</v>
      </c>
      <c r="K280" s="275">
        <v>1348</v>
      </c>
      <c r="L280" s="275">
        <v>3501</v>
      </c>
      <c r="M280" s="275">
        <v>0</v>
      </c>
      <c r="N280" s="275">
        <v>474</v>
      </c>
      <c r="O280" s="275">
        <v>3574</v>
      </c>
      <c r="P280" s="275">
        <v>2125</v>
      </c>
      <c r="Q280" s="275">
        <v>1991</v>
      </c>
      <c r="R280" s="275">
        <v>1850</v>
      </c>
      <c r="S280" s="275">
        <v>4597</v>
      </c>
      <c r="T280" s="275">
        <v>6188</v>
      </c>
      <c r="U280" s="275">
        <v>38112</v>
      </c>
      <c r="V280" s="276">
        <v>-202</v>
      </c>
      <c r="W280" s="277">
        <v>37910</v>
      </c>
      <c r="X280" s="275">
        <v>2010</v>
      </c>
      <c r="Y280" s="275">
        <v>7629</v>
      </c>
      <c r="Z280" s="276">
        <v>28473</v>
      </c>
      <c r="AA280" s="285">
        <v>4496</v>
      </c>
      <c r="AB280" s="295">
        <v>37374.84728635021</v>
      </c>
    </row>
    <row r="281" spans="1:28" ht="13.5" customHeight="1">
      <c r="A281" s="18">
        <v>17</v>
      </c>
      <c r="B281" s="19" t="s">
        <v>22</v>
      </c>
      <c r="C281" s="274">
        <v>970</v>
      </c>
      <c r="D281" s="275">
        <v>11</v>
      </c>
      <c r="E281" s="275">
        <v>301</v>
      </c>
      <c r="F281" s="275">
        <v>80</v>
      </c>
      <c r="G281" s="275">
        <v>356</v>
      </c>
      <c r="H281" s="275">
        <v>666</v>
      </c>
      <c r="I281" s="275">
        <v>10977</v>
      </c>
      <c r="J281" s="275">
        <v>1543</v>
      </c>
      <c r="K281" s="275">
        <v>1219</v>
      </c>
      <c r="L281" s="275">
        <v>10777</v>
      </c>
      <c r="M281" s="275">
        <v>152</v>
      </c>
      <c r="N281" s="275">
        <v>131</v>
      </c>
      <c r="O281" s="275">
        <v>4618</v>
      </c>
      <c r="P281" s="275">
        <v>1870</v>
      </c>
      <c r="Q281" s="275">
        <v>3507</v>
      </c>
      <c r="R281" s="275">
        <v>7626</v>
      </c>
      <c r="S281" s="275">
        <v>1348</v>
      </c>
      <c r="T281" s="275">
        <v>3703</v>
      </c>
      <c r="U281" s="275">
        <v>49855</v>
      </c>
      <c r="V281" s="276">
        <v>-264</v>
      </c>
      <c r="W281" s="277">
        <v>49591</v>
      </c>
      <c r="X281" s="275">
        <v>1282</v>
      </c>
      <c r="Y281" s="275">
        <v>11413</v>
      </c>
      <c r="Z281" s="276">
        <v>37160</v>
      </c>
      <c r="AA281" s="285">
        <v>4780</v>
      </c>
      <c r="AB281" s="295">
        <v>48712.407605780907</v>
      </c>
    </row>
    <row r="282" spans="1:28" ht="13.5" customHeight="1">
      <c r="A282" s="18">
        <v>18</v>
      </c>
      <c r="B282" s="19" t="s">
        <v>23</v>
      </c>
      <c r="C282" s="274">
        <v>861</v>
      </c>
      <c r="D282" s="275">
        <v>3</v>
      </c>
      <c r="E282" s="275">
        <v>164</v>
      </c>
      <c r="F282" s="275">
        <v>19</v>
      </c>
      <c r="G282" s="275">
        <v>231</v>
      </c>
      <c r="H282" s="275">
        <v>529</v>
      </c>
      <c r="I282" s="275">
        <v>2088</v>
      </c>
      <c r="J282" s="275">
        <v>461</v>
      </c>
      <c r="K282" s="275">
        <v>1767</v>
      </c>
      <c r="L282" s="275">
        <v>272</v>
      </c>
      <c r="M282" s="275">
        <v>995</v>
      </c>
      <c r="N282" s="275">
        <v>43</v>
      </c>
      <c r="O282" s="275">
        <v>1472</v>
      </c>
      <c r="P282" s="275">
        <v>1553</v>
      </c>
      <c r="Q282" s="275">
        <v>1470</v>
      </c>
      <c r="R282" s="275">
        <v>1150</v>
      </c>
      <c r="S282" s="275">
        <v>1969</v>
      </c>
      <c r="T282" s="275">
        <v>922</v>
      </c>
      <c r="U282" s="275">
        <v>15969</v>
      </c>
      <c r="V282" s="276">
        <v>-85</v>
      </c>
      <c r="W282" s="277">
        <v>15884</v>
      </c>
      <c r="X282" s="275">
        <v>1028</v>
      </c>
      <c r="Y282" s="275">
        <v>2338</v>
      </c>
      <c r="Z282" s="276">
        <v>12603</v>
      </c>
      <c r="AA282" s="285">
        <v>5487</v>
      </c>
      <c r="AB282" s="295">
        <v>15651.91788172525</v>
      </c>
    </row>
    <row r="283" spans="1:28" ht="13.5" customHeight="1">
      <c r="A283" s="18">
        <v>19</v>
      </c>
      <c r="B283" s="19" t="s">
        <v>24</v>
      </c>
      <c r="C283" s="274">
        <v>964</v>
      </c>
      <c r="D283" s="275">
        <v>0</v>
      </c>
      <c r="E283" s="275">
        <v>66</v>
      </c>
      <c r="F283" s="275">
        <v>33</v>
      </c>
      <c r="G283" s="275">
        <v>666</v>
      </c>
      <c r="H283" s="275">
        <v>9993</v>
      </c>
      <c r="I283" s="275">
        <v>4452</v>
      </c>
      <c r="J283" s="275">
        <v>1100</v>
      </c>
      <c r="K283" s="275">
        <v>2430</v>
      </c>
      <c r="L283" s="275">
        <v>888</v>
      </c>
      <c r="M283" s="275">
        <v>251</v>
      </c>
      <c r="N283" s="275">
        <v>289</v>
      </c>
      <c r="O283" s="275">
        <v>3404</v>
      </c>
      <c r="P283" s="275">
        <v>480</v>
      </c>
      <c r="Q283" s="275">
        <v>1958</v>
      </c>
      <c r="R283" s="275">
        <v>1455</v>
      </c>
      <c r="S283" s="275">
        <v>5933</v>
      </c>
      <c r="T283" s="275">
        <v>1280</v>
      </c>
      <c r="U283" s="275">
        <v>35642</v>
      </c>
      <c r="V283" s="276">
        <v>-188</v>
      </c>
      <c r="W283" s="277">
        <v>35454</v>
      </c>
      <c r="X283" s="275">
        <v>1030</v>
      </c>
      <c r="Y283" s="275">
        <v>5151</v>
      </c>
      <c r="Z283" s="276">
        <v>29461</v>
      </c>
      <c r="AA283" s="285">
        <v>6179</v>
      </c>
      <c r="AB283" s="295">
        <v>35184.672277732672</v>
      </c>
    </row>
    <row r="284" spans="1:28" ht="13.5" customHeight="1">
      <c r="A284" s="20">
        <v>20</v>
      </c>
      <c r="B284" s="21" t="s">
        <v>25</v>
      </c>
      <c r="C284" s="278">
        <v>2560</v>
      </c>
      <c r="D284" s="279">
        <v>2</v>
      </c>
      <c r="E284" s="279">
        <v>152</v>
      </c>
      <c r="F284" s="279">
        <v>9</v>
      </c>
      <c r="G284" s="279">
        <v>417</v>
      </c>
      <c r="H284" s="279">
        <v>366</v>
      </c>
      <c r="I284" s="279">
        <v>2231</v>
      </c>
      <c r="J284" s="279">
        <v>678</v>
      </c>
      <c r="K284" s="279">
        <v>562</v>
      </c>
      <c r="L284" s="279">
        <v>656</v>
      </c>
      <c r="M284" s="279">
        <v>35</v>
      </c>
      <c r="N284" s="279">
        <v>17</v>
      </c>
      <c r="O284" s="279">
        <v>1129</v>
      </c>
      <c r="P284" s="279">
        <v>353</v>
      </c>
      <c r="Q284" s="279">
        <v>1210</v>
      </c>
      <c r="R284" s="279">
        <v>593</v>
      </c>
      <c r="S284" s="279">
        <v>882</v>
      </c>
      <c r="T284" s="279">
        <v>651</v>
      </c>
      <c r="U284" s="279">
        <v>12503</v>
      </c>
      <c r="V284" s="280">
        <v>-66</v>
      </c>
      <c r="W284" s="281">
        <v>12437</v>
      </c>
      <c r="X284" s="279">
        <v>2714</v>
      </c>
      <c r="Y284" s="279">
        <v>2657</v>
      </c>
      <c r="Z284" s="280">
        <v>7132</v>
      </c>
      <c r="AA284" s="286">
        <v>4295</v>
      </c>
      <c r="AB284" s="296">
        <v>11988.796309602134</v>
      </c>
    </row>
    <row r="285" spans="1:28" ht="13.5" customHeight="1">
      <c r="A285" s="18">
        <v>21</v>
      </c>
      <c r="B285" s="19" t="s">
        <v>26</v>
      </c>
      <c r="C285" s="270">
        <v>1332</v>
      </c>
      <c r="D285" s="271">
        <v>4</v>
      </c>
      <c r="E285" s="271">
        <v>115</v>
      </c>
      <c r="F285" s="271">
        <v>145</v>
      </c>
      <c r="G285" s="271">
        <v>6923</v>
      </c>
      <c r="H285" s="271">
        <v>2081</v>
      </c>
      <c r="I285" s="271">
        <v>8338</v>
      </c>
      <c r="J285" s="271">
        <v>3725</v>
      </c>
      <c r="K285" s="271">
        <v>791</v>
      </c>
      <c r="L285" s="271">
        <v>4793</v>
      </c>
      <c r="M285" s="271">
        <v>50</v>
      </c>
      <c r="N285" s="271">
        <v>580</v>
      </c>
      <c r="O285" s="271">
        <v>13992</v>
      </c>
      <c r="P285" s="271">
        <v>2316</v>
      </c>
      <c r="Q285" s="271">
        <v>3132</v>
      </c>
      <c r="R285" s="271">
        <v>3857</v>
      </c>
      <c r="S285" s="271">
        <v>5240</v>
      </c>
      <c r="T285" s="271">
        <v>5944</v>
      </c>
      <c r="U285" s="271">
        <v>63358</v>
      </c>
      <c r="V285" s="272">
        <v>-335</v>
      </c>
      <c r="W285" s="273">
        <v>63023</v>
      </c>
      <c r="X285" s="271">
        <v>1451</v>
      </c>
      <c r="Y285" s="271">
        <v>15406</v>
      </c>
      <c r="Z285" s="272">
        <v>46501</v>
      </c>
      <c r="AA285" s="284">
        <v>4911</v>
      </c>
      <c r="AB285" s="294">
        <v>62426.959949847012</v>
      </c>
    </row>
    <row r="286" spans="1:28" ht="13.5" customHeight="1">
      <c r="A286" s="18">
        <v>22</v>
      </c>
      <c r="B286" s="19" t="s">
        <v>27</v>
      </c>
      <c r="C286" s="274">
        <v>55</v>
      </c>
      <c r="D286" s="275">
        <v>0</v>
      </c>
      <c r="E286" s="275">
        <v>5</v>
      </c>
      <c r="F286" s="275">
        <v>0</v>
      </c>
      <c r="G286" s="275">
        <v>967</v>
      </c>
      <c r="H286" s="275">
        <v>857</v>
      </c>
      <c r="I286" s="275">
        <v>3070</v>
      </c>
      <c r="J286" s="275">
        <v>1684</v>
      </c>
      <c r="K286" s="275">
        <v>462</v>
      </c>
      <c r="L286" s="275">
        <v>896</v>
      </c>
      <c r="M286" s="275">
        <v>697</v>
      </c>
      <c r="N286" s="275">
        <v>1803</v>
      </c>
      <c r="O286" s="275">
        <v>4079</v>
      </c>
      <c r="P286" s="275">
        <v>3208</v>
      </c>
      <c r="Q286" s="275">
        <v>10577</v>
      </c>
      <c r="R286" s="275">
        <v>1818</v>
      </c>
      <c r="S286" s="275">
        <v>4116</v>
      </c>
      <c r="T286" s="275">
        <v>1869</v>
      </c>
      <c r="U286" s="275">
        <v>36163</v>
      </c>
      <c r="V286" s="276">
        <v>-191</v>
      </c>
      <c r="W286" s="277">
        <v>35972</v>
      </c>
      <c r="X286" s="275">
        <v>60</v>
      </c>
      <c r="Y286" s="275">
        <v>4037</v>
      </c>
      <c r="Z286" s="276">
        <v>32066</v>
      </c>
      <c r="AA286" s="285">
        <v>4629</v>
      </c>
      <c r="AB286" s="295">
        <v>35841.887032213112</v>
      </c>
    </row>
    <row r="287" spans="1:28" ht="13.5" customHeight="1">
      <c r="A287" s="18">
        <v>23</v>
      </c>
      <c r="B287" s="19" t="s">
        <v>28</v>
      </c>
      <c r="C287" s="274">
        <v>1</v>
      </c>
      <c r="D287" s="275">
        <v>1</v>
      </c>
      <c r="E287" s="275">
        <v>82</v>
      </c>
      <c r="F287" s="275">
        <v>19</v>
      </c>
      <c r="G287" s="275">
        <v>532</v>
      </c>
      <c r="H287" s="275">
        <v>5783</v>
      </c>
      <c r="I287" s="275">
        <v>12150</v>
      </c>
      <c r="J287" s="275">
        <v>8442</v>
      </c>
      <c r="K287" s="275">
        <v>877</v>
      </c>
      <c r="L287" s="275">
        <v>6885</v>
      </c>
      <c r="M287" s="275">
        <v>1371</v>
      </c>
      <c r="N287" s="275">
        <v>2368</v>
      </c>
      <c r="O287" s="275">
        <v>14924</v>
      </c>
      <c r="P287" s="275">
        <v>7900</v>
      </c>
      <c r="Q287" s="275">
        <v>2873</v>
      </c>
      <c r="R287" s="275">
        <v>2919</v>
      </c>
      <c r="S287" s="275">
        <v>6547</v>
      </c>
      <c r="T287" s="275">
        <v>6923</v>
      </c>
      <c r="U287" s="275">
        <v>80597</v>
      </c>
      <c r="V287" s="276">
        <v>-426</v>
      </c>
      <c r="W287" s="277">
        <v>80171</v>
      </c>
      <c r="X287" s="275">
        <v>84</v>
      </c>
      <c r="Y287" s="275">
        <v>12701</v>
      </c>
      <c r="Z287" s="276">
        <v>67812</v>
      </c>
      <c r="AA287" s="285">
        <v>5626</v>
      </c>
      <c r="AB287" s="295">
        <v>79681.976719210885</v>
      </c>
    </row>
    <row r="288" spans="1:28" ht="13.5" customHeight="1">
      <c r="A288" s="18">
        <v>24</v>
      </c>
      <c r="B288" s="19" t="s">
        <v>29</v>
      </c>
      <c r="C288" s="274">
        <v>41</v>
      </c>
      <c r="D288" s="275">
        <v>0</v>
      </c>
      <c r="E288" s="275">
        <v>78</v>
      </c>
      <c r="F288" s="275">
        <v>5</v>
      </c>
      <c r="G288" s="275">
        <v>303</v>
      </c>
      <c r="H288" s="275">
        <v>967</v>
      </c>
      <c r="I288" s="275">
        <v>7460</v>
      </c>
      <c r="J288" s="275">
        <v>2517</v>
      </c>
      <c r="K288" s="275">
        <v>1341</v>
      </c>
      <c r="L288" s="275">
        <v>3824</v>
      </c>
      <c r="M288" s="275">
        <v>111</v>
      </c>
      <c r="N288" s="275">
        <v>634</v>
      </c>
      <c r="O288" s="275">
        <v>5809</v>
      </c>
      <c r="P288" s="275">
        <v>1377</v>
      </c>
      <c r="Q288" s="275">
        <v>1600</v>
      </c>
      <c r="R288" s="275">
        <v>3605</v>
      </c>
      <c r="S288" s="275">
        <v>6284</v>
      </c>
      <c r="T288" s="275">
        <v>2680</v>
      </c>
      <c r="U288" s="275">
        <v>38636</v>
      </c>
      <c r="V288" s="276">
        <v>-205</v>
      </c>
      <c r="W288" s="277">
        <v>38431</v>
      </c>
      <c r="X288" s="275">
        <v>119</v>
      </c>
      <c r="Y288" s="275">
        <v>7768</v>
      </c>
      <c r="Z288" s="276">
        <v>30749</v>
      </c>
      <c r="AA288" s="285">
        <v>4949</v>
      </c>
      <c r="AB288" s="295">
        <v>38062.189755720217</v>
      </c>
    </row>
    <row r="289" spans="1:28" ht="13.5" customHeight="1">
      <c r="A289" s="18">
        <v>25</v>
      </c>
      <c r="B289" s="19" t="s">
        <v>30</v>
      </c>
      <c r="C289" s="274">
        <v>306</v>
      </c>
      <c r="D289" s="275">
        <v>0</v>
      </c>
      <c r="E289" s="275">
        <v>22</v>
      </c>
      <c r="F289" s="275">
        <v>220</v>
      </c>
      <c r="G289" s="275">
        <v>5022</v>
      </c>
      <c r="H289" s="275">
        <v>13237</v>
      </c>
      <c r="I289" s="275">
        <v>4151</v>
      </c>
      <c r="J289" s="275">
        <v>3337</v>
      </c>
      <c r="K289" s="275">
        <v>1246</v>
      </c>
      <c r="L289" s="275">
        <v>791</v>
      </c>
      <c r="M289" s="275">
        <v>905</v>
      </c>
      <c r="N289" s="275">
        <v>436</v>
      </c>
      <c r="O289" s="275">
        <v>6588</v>
      </c>
      <c r="P289" s="275">
        <v>1837</v>
      </c>
      <c r="Q289" s="275">
        <v>1353</v>
      </c>
      <c r="R289" s="275">
        <v>1702</v>
      </c>
      <c r="S289" s="275">
        <v>9702</v>
      </c>
      <c r="T289" s="275">
        <v>3634</v>
      </c>
      <c r="U289" s="275">
        <v>54489</v>
      </c>
      <c r="V289" s="276">
        <v>-288</v>
      </c>
      <c r="W289" s="277">
        <v>54201</v>
      </c>
      <c r="X289" s="275">
        <v>328</v>
      </c>
      <c r="Y289" s="275">
        <v>9393</v>
      </c>
      <c r="Z289" s="276">
        <v>44768</v>
      </c>
      <c r="AA289" s="285">
        <v>6428</v>
      </c>
      <c r="AB289" s="295">
        <v>53988.605914724249</v>
      </c>
    </row>
    <row r="290" spans="1:28" ht="13.5" customHeight="1">
      <c r="A290" s="20">
        <v>26</v>
      </c>
      <c r="B290" s="21" t="s">
        <v>31</v>
      </c>
      <c r="C290" s="278">
        <v>277</v>
      </c>
      <c r="D290" s="279">
        <v>2</v>
      </c>
      <c r="E290" s="279">
        <v>130</v>
      </c>
      <c r="F290" s="279">
        <v>9</v>
      </c>
      <c r="G290" s="279">
        <v>20646</v>
      </c>
      <c r="H290" s="279">
        <v>5087</v>
      </c>
      <c r="I290" s="279">
        <v>7536</v>
      </c>
      <c r="J290" s="279">
        <v>13785</v>
      </c>
      <c r="K290" s="279">
        <v>5809</v>
      </c>
      <c r="L290" s="279">
        <v>1900</v>
      </c>
      <c r="M290" s="279">
        <v>453</v>
      </c>
      <c r="N290" s="279">
        <v>1492</v>
      </c>
      <c r="O290" s="279">
        <v>9098</v>
      </c>
      <c r="P290" s="279">
        <v>3483</v>
      </c>
      <c r="Q290" s="279">
        <v>2619</v>
      </c>
      <c r="R290" s="279">
        <v>20791</v>
      </c>
      <c r="S290" s="279">
        <v>16670</v>
      </c>
      <c r="T290" s="279">
        <v>5000</v>
      </c>
      <c r="U290" s="279">
        <v>114787</v>
      </c>
      <c r="V290" s="280">
        <v>-606</v>
      </c>
      <c r="W290" s="281">
        <v>114181</v>
      </c>
      <c r="X290" s="279">
        <v>409</v>
      </c>
      <c r="Y290" s="279">
        <v>28191</v>
      </c>
      <c r="Z290" s="280">
        <v>86187</v>
      </c>
      <c r="AA290" s="286">
        <v>5328</v>
      </c>
      <c r="AB290" s="296">
        <v>113205.52639519742</v>
      </c>
    </row>
    <row r="291" spans="1:28" ht="13.5" customHeight="1">
      <c r="A291" s="18">
        <v>27</v>
      </c>
      <c r="B291" s="19" t="s">
        <v>32</v>
      </c>
      <c r="C291" s="270">
        <v>195</v>
      </c>
      <c r="D291" s="271">
        <v>0</v>
      </c>
      <c r="E291" s="271">
        <v>219</v>
      </c>
      <c r="F291" s="271">
        <v>5</v>
      </c>
      <c r="G291" s="271">
        <v>598</v>
      </c>
      <c r="H291" s="271">
        <v>839</v>
      </c>
      <c r="I291" s="271">
        <v>3975</v>
      </c>
      <c r="J291" s="271">
        <v>4678</v>
      </c>
      <c r="K291" s="271">
        <v>725</v>
      </c>
      <c r="L291" s="271">
        <v>1551</v>
      </c>
      <c r="M291" s="271">
        <v>164</v>
      </c>
      <c r="N291" s="271">
        <v>1080</v>
      </c>
      <c r="O291" s="271">
        <v>6436</v>
      </c>
      <c r="P291" s="271">
        <v>1004</v>
      </c>
      <c r="Q291" s="271">
        <v>2871</v>
      </c>
      <c r="R291" s="271">
        <v>3076</v>
      </c>
      <c r="S291" s="271">
        <v>6100</v>
      </c>
      <c r="T291" s="271">
        <v>2240</v>
      </c>
      <c r="U291" s="271">
        <v>35756</v>
      </c>
      <c r="V291" s="272">
        <v>-189</v>
      </c>
      <c r="W291" s="273">
        <v>35567</v>
      </c>
      <c r="X291" s="271">
        <v>414</v>
      </c>
      <c r="Y291" s="271">
        <v>4578</v>
      </c>
      <c r="Z291" s="272">
        <v>30764</v>
      </c>
      <c r="AA291" s="284">
        <v>5146</v>
      </c>
      <c r="AB291" s="294">
        <v>35274.067361958609</v>
      </c>
    </row>
    <row r="292" spans="1:28" ht="13.5" customHeight="1">
      <c r="A292" s="18">
        <v>28</v>
      </c>
      <c r="B292" s="19" t="s">
        <v>33</v>
      </c>
      <c r="C292" s="274">
        <v>1131</v>
      </c>
      <c r="D292" s="275">
        <v>4</v>
      </c>
      <c r="E292" s="275">
        <v>0</v>
      </c>
      <c r="F292" s="275">
        <v>33</v>
      </c>
      <c r="G292" s="275">
        <v>4461</v>
      </c>
      <c r="H292" s="275">
        <v>2595</v>
      </c>
      <c r="I292" s="275">
        <v>10716</v>
      </c>
      <c r="J292" s="275">
        <v>12687</v>
      </c>
      <c r="K292" s="275">
        <v>3415</v>
      </c>
      <c r="L292" s="275">
        <v>3019</v>
      </c>
      <c r="M292" s="275">
        <v>399</v>
      </c>
      <c r="N292" s="275">
        <v>1696</v>
      </c>
      <c r="O292" s="275">
        <v>11185</v>
      </c>
      <c r="P292" s="275">
        <v>4139</v>
      </c>
      <c r="Q292" s="275">
        <v>2923</v>
      </c>
      <c r="R292" s="275">
        <v>5066</v>
      </c>
      <c r="S292" s="275">
        <v>25589</v>
      </c>
      <c r="T292" s="275">
        <v>6612</v>
      </c>
      <c r="U292" s="275">
        <v>95670</v>
      </c>
      <c r="V292" s="276">
        <v>-506</v>
      </c>
      <c r="W292" s="277">
        <v>95164</v>
      </c>
      <c r="X292" s="275">
        <v>1135</v>
      </c>
      <c r="Y292" s="275">
        <v>15210</v>
      </c>
      <c r="Z292" s="276">
        <v>79325</v>
      </c>
      <c r="AA292" s="285">
        <v>5159</v>
      </c>
      <c r="AB292" s="295">
        <v>94323.990119700975</v>
      </c>
    </row>
    <row r="293" spans="1:28" ht="13.5" customHeight="1">
      <c r="A293" s="18">
        <v>29</v>
      </c>
      <c r="B293" s="19" t="s">
        <v>34</v>
      </c>
      <c r="C293" s="274">
        <v>5</v>
      </c>
      <c r="D293" s="275">
        <v>5</v>
      </c>
      <c r="E293" s="275">
        <v>19</v>
      </c>
      <c r="F293" s="275">
        <v>0</v>
      </c>
      <c r="G293" s="275">
        <v>7</v>
      </c>
      <c r="H293" s="275">
        <v>119</v>
      </c>
      <c r="I293" s="275">
        <v>705</v>
      </c>
      <c r="J293" s="275">
        <v>29</v>
      </c>
      <c r="K293" s="275">
        <v>208</v>
      </c>
      <c r="L293" s="275">
        <v>533</v>
      </c>
      <c r="M293" s="275">
        <v>0</v>
      </c>
      <c r="N293" s="275">
        <v>5</v>
      </c>
      <c r="O293" s="275">
        <v>104</v>
      </c>
      <c r="P293" s="275">
        <v>105</v>
      </c>
      <c r="Q293" s="275">
        <v>442</v>
      </c>
      <c r="R293" s="275">
        <v>322</v>
      </c>
      <c r="S293" s="275">
        <v>171</v>
      </c>
      <c r="T293" s="275">
        <v>506</v>
      </c>
      <c r="U293" s="275">
        <v>3285</v>
      </c>
      <c r="V293" s="276">
        <v>-17</v>
      </c>
      <c r="W293" s="277">
        <v>3268</v>
      </c>
      <c r="X293" s="275">
        <v>29</v>
      </c>
      <c r="Y293" s="275">
        <v>712</v>
      </c>
      <c r="Z293" s="276">
        <v>2544</v>
      </c>
      <c r="AA293" s="285">
        <v>5577</v>
      </c>
      <c r="AB293" s="295">
        <v>3224.3855497045602</v>
      </c>
    </row>
    <row r="294" spans="1:28" ht="13.5" customHeight="1">
      <c r="A294" s="18">
        <v>30</v>
      </c>
      <c r="B294" s="19" t="s">
        <v>35</v>
      </c>
      <c r="C294" s="274">
        <v>3</v>
      </c>
      <c r="D294" s="275">
        <v>0</v>
      </c>
      <c r="E294" s="275">
        <v>33</v>
      </c>
      <c r="F294" s="275">
        <v>0</v>
      </c>
      <c r="G294" s="275">
        <v>26</v>
      </c>
      <c r="H294" s="275">
        <v>95</v>
      </c>
      <c r="I294" s="275">
        <v>384</v>
      </c>
      <c r="J294" s="275">
        <v>98</v>
      </c>
      <c r="K294" s="275">
        <v>175</v>
      </c>
      <c r="L294" s="275">
        <v>864</v>
      </c>
      <c r="M294" s="275">
        <v>0</v>
      </c>
      <c r="N294" s="275">
        <v>8</v>
      </c>
      <c r="O294" s="275">
        <v>193</v>
      </c>
      <c r="P294" s="275">
        <v>148</v>
      </c>
      <c r="Q294" s="275">
        <v>426</v>
      </c>
      <c r="R294" s="275">
        <v>479</v>
      </c>
      <c r="S294" s="275">
        <v>177</v>
      </c>
      <c r="T294" s="275">
        <v>767</v>
      </c>
      <c r="U294" s="275">
        <v>3876</v>
      </c>
      <c r="V294" s="276">
        <v>-20</v>
      </c>
      <c r="W294" s="277">
        <v>3856</v>
      </c>
      <c r="X294" s="275">
        <v>36</v>
      </c>
      <c r="Y294" s="275">
        <v>410</v>
      </c>
      <c r="Z294" s="276">
        <v>3430</v>
      </c>
      <c r="AA294" s="285">
        <v>5363</v>
      </c>
      <c r="AB294" s="295">
        <v>3797.3621598702057</v>
      </c>
    </row>
    <row r="295" spans="1:28" ht="13.5" customHeight="1">
      <c r="A295" s="18">
        <v>31</v>
      </c>
      <c r="B295" s="19" t="s">
        <v>36</v>
      </c>
      <c r="C295" s="274">
        <v>98</v>
      </c>
      <c r="D295" s="275">
        <v>0</v>
      </c>
      <c r="E295" s="275">
        <v>8</v>
      </c>
      <c r="F295" s="275">
        <v>19</v>
      </c>
      <c r="G295" s="275">
        <v>117</v>
      </c>
      <c r="H295" s="275">
        <v>85</v>
      </c>
      <c r="I295" s="275">
        <v>73</v>
      </c>
      <c r="J295" s="275">
        <v>26</v>
      </c>
      <c r="K295" s="275">
        <v>139</v>
      </c>
      <c r="L295" s="275">
        <v>102</v>
      </c>
      <c r="M295" s="275">
        <v>0</v>
      </c>
      <c r="N295" s="275">
        <v>4</v>
      </c>
      <c r="O295" s="275">
        <v>189</v>
      </c>
      <c r="P295" s="275">
        <v>0</v>
      </c>
      <c r="Q295" s="275">
        <v>423</v>
      </c>
      <c r="R295" s="275">
        <v>256</v>
      </c>
      <c r="S295" s="275">
        <v>406</v>
      </c>
      <c r="T295" s="275">
        <v>99</v>
      </c>
      <c r="U295" s="275">
        <v>2044</v>
      </c>
      <c r="V295" s="276">
        <v>-11</v>
      </c>
      <c r="W295" s="277">
        <v>2033</v>
      </c>
      <c r="X295" s="275">
        <v>106</v>
      </c>
      <c r="Y295" s="275">
        <v>209</v>
      </c>
      <c r="Z295" s="276">
        <v>1729</v>
      </c>
      <c r="AA295" s="285">
        <v>4420</v>
      </c>
      <c r="AB295" s="295">
        <v>2006.9309836729039</v>
      </c>
    </row>
    <row r="296" spans="1:28" ht="13.5" customHeight="1">
      <c r="A296" s="18">
        <v>32</v>
      </c>
      <c r="B296" s="19" t="s">
        <v>37</v>
      </c>
      <c r="C296" s="274">
        <v>2</v>
      </c>
      <c r="D296" s="275">
        <v>0</v>
      </c>
      <c r="E296" s="275">
        <v>93</v>
      </c>
      <c r="F296" s="275">
        <v>0</v>
      </c>
      <c r="G296" s="275">
        <v>3</v>
      </c>
      <c r="H296" s="275">
        <v>22</v>
      </c>
      <c r="I296" s="275">
        <v>876</v>
      </c>
      <c r="J296" s="275">
        <v>16</v>
      </c>
      <c r="K296" s="275">
        <v>35</v>
      </c>
      <c r="L296" s="275">
        <v>48</v>
      </c>
      <c r="M296" s="275">
        <v>0</v>
      </c>
      <c r="N296" s="275">
        <v>4</v>
      </c>
      <c r="O296" s="275">
        <v>58</v>
      </c>
      <c r="P296" s="275">
        <v>0</v>
      </c>
      <c r="Q296" s="275">
        <v>279</v>
      </c>
      <c r="R296" s="275">
        <v>187</v>
      </c>
      <c r="S296" s="275">
        <v>134</v>
      </c>
      <c r="T296" s="275">
        <v>17</v>
      </c>
      <c r="U296" s="275">
        <v>1774</v>
      </c>
      <c r="V296" s="276">
        <v>-9</v>
      </c>
      <c r="W296" s="277">
        <v>1765</v>
      </c>
      <c r="X296" s="275">
        <v>95</v>
      </c>
      <c r="Y296" s="275">
        <v>879</v>
      </c>
      <c r="Z296" s="276">
        <v>800</v>
      </c>
      <c r="AA296" s="285">
        <v>5300</v>
      </c>
      <c r="AB296" s="295">
        <v>1740.6635417572011</v>
      </c>
    </row>
    <row r="297" spans="1:28" ht="13.5" customHeight="1">
      <c r="A297" s="18">
        <v>33</v>
      </c>
      <c r="B297" s="19" t="s">
        <v>38</v>
      </c>
      <c r="C297" s="274">
        <v>1616</v>
      </c>
      <c r="D297" s="275">
        <v>1</v>
      </c>
      <c r="E297" s="275">
        <v>40</v>
      </c>
      <c r="F297" s="275">
        <v>94</v>
      </c>
      <c r="G297" s="275">
        <v>990</v>
      </c>
      <c r="H297" s="275">
        <v>212</v>
      </c>
      <c r="I297" s="275">
        <v>2110</v>
      </c>
      <c r="J297" s="275">
        <v>231</v>
      </c>
      <c r="K297" s="275">
        <v>92</v>
      </c>
      <c r="L297" s="275">
        <v>159</v>
      </c>
      <c r="M297" s="275">
        <v>0</v>
      </c>
      <c r="N297" s="275">
        <v>4</v>
      </c>
      <c r="O297" s="275">
        <v>106</v>
      </c>
      <c r="P297" s="275">
        <v>11</v>
      </c>
      <c r="Q297" s="275">
        <v>750</v>
      </c>
      <c r="R297" s="275">
        <v>294</v>
      </c>
      <c r="S297" s="275">
        <v>183</v>
      </c>
      <c r="T297" s="275">
        <v>141</v>
      </c>
      <c r="U297" s="275">
        <v>7034</v>
      </c>
      <c r="V297" s="276">
        <v>-37</v>
      </c>
      <c r="W297" s="277">
        <v>6997</v>
      </c>
      <c r="X297" s="275">
        <v>1657</v>
      </c>
      <c r="Y297" s="275">
        <v>3194</v>
      </c>
      <c r="Z297" s="276">
        <v>2183</v>
      </c>
      <c r="AA297" s="285">
        <v>6332</v>
      </c>
      <c r="AB297" s="295">
        <v>6752.6522490952239</v>
      </c>
    </row>
    <row r="298" spans="1:28" ht="13.5" customHeight="1">
      <c r="A298" s="18">
        <v>34</v>
      </c>
      <c r="B298" s="19" t="s">
        <v>39</v>
      </c>
      <c r="C298" s="274">
        <v>544</v>
      </c>
      <c r="D298" s="275">
        <v>0</v>
      </c>
      <c r="E298" s="275">
        <v>11</v>
      </c>
      <c r="F298" s="275">
        <v>0</v>
      </c>
      <c r="G298" s="275">
        <v>599</v>
      </c>
      <c r="H298" s="275">
        <v>74</v>
      </c>
      <c r="I298" s="275">
        <v>2096</v>
      </c>
      <c r="J298" s="275">
        <v>58</v>
      </c>
      <c r="K298" s="275">
        <v>92</v>
      </c>
      <c r="L298" s="275">
        <v>155</v>
      </c>
      <c r="M298" s="275">
        <v>0</v>
      </c>
      <c r="N298" s="275">
        <v>13</v>
      </c>
      <c r="O298" s="275">
        <v>31</v>
      </c>
      <c r="P298" s="275">
        <v>6</v>
      </c>
      <c r="Q298" s="275">
        <v>352</v>
      </c>
      <c r="R298" s="275">
        <v>241</v>
      </c>
      <c r="S298" s="275">
        <v>147</v>
      </c>
      <c r="T298" s="275">
        <v>54</v>
      </c>
      <c r="U298" s="275">
        <v>4473</v>
      </c>
      <c r="V298" s="276">
        <v>-24</v>
      </c>
      <c r="W298" s="277">
        <v>4449</v>
      </c>
      <c r="X298" s="275">
        <v>555</v>
      </c>
      <c r="Y298" s="275">
        <v>2695</v>
      </c>
      <c r="Z298" s="276">
        <v>1223</v>
      </c>
      <c r="AA298" s="285">
        <v>7916</v>
      </c>
      <c r="AB298" s="295">
        <v>4348.2278563079126</v>
      </c>
    </row>
    <row r="299" spans="1:28" ht="13.5" customHeight="1">
      <c r="A299" s="18">
        <v>35</v>
      </c>
      <c r="B299" s="19" t="s">
        <v>40</v>
      </c>
      <c r="C299" s="274">
        <v>205</v>
      </c>
      <c r="D299" s="275">
        <v>4</v>
      </c>
      <c r="E299" s="275">
        <v>86</v>
      </c>
      <c r="F299" s="275">
        <v>5</v>
      </c>
      <c r="G299" s="275">
        <v>388</v>
      </c>
      <c r="H299" s="275">
        <v>103</v>
      </c>
      <c r="I299" s="275">
        <v>1025</v>
      </c>
      <c r="J299" s="275">
        <v>218</v>
      </c>
      <c r="K299" s="275">
        <v>252</v>
      </c>
      <c r="L299" s="275">
        <v>116</v>
      </c>
      <c r="M299" s="275">
        <v>0</v>
      </c>
      <c r="N299" s="275">
        <v>13</v>
      </c>
      <c r="O299" s="275">
        <v>140</v>
      </c>
      <c r="P299" s="275">
        <v>97</v>
      </c>
      <c r="Q299" s="275">
        <v>644</v>
      </c>
      <c r="R299" s="275">
        <v>446</v>
      </c>
      <c r="S299" s="275">
        <v>182</v>
      </c>
      <c r="T299" s="275">
        <v>137</v>
      </c>
      <c r="U299" s="275">
        <v>4061</v>
      </c>
      <c r="V299" s="276">
        <v>-21</v>
      </c>
      <c r="W299" s="277">
        <v>4040</v>
      </c>
      <c r="X299" s="275">
        <v>295</v>
      </c>
      <c r="Y299" s="275">
        <v>1418</v>
      </c>
      <c r="Z299" s="276">
        <v>2348</v>
      </c>
      <c r="AA299" s="285">
        <v>5069</v>
      </c>
      <c r="AB299" s="295">
        <v>3969.5635482148678</v>
      </c>
    </row>
    <row r="300" spans="1:28" ht="13.5" customHeight="1">
      <c r="A300" s="18">
        <v>36</v>
      </c>
      <c r="B300" s="19" t="s">
        <v>41</v>
      </c>
      <c r="C300" s="274">
        <v>491</v>
      </c>
      <c r="D300" s="275">
        <v>0</v>
      </c>
      <c r="E300" s="275">
        <v>137</v>
      </c>
      <c r="F300" s="275">
        <v>0</v>
      </c>
      <c r="G300" s="275">
        <v>378</v>
      </c>
      <c r="H300" s="275">
        <v>51</v>
      </c>
      <c r="I300" s="275">
        <v>502</v>
      </c>
      <c r="J300" s="275">
        <v>165</v>
      </c>
      <c r="K300" s="275">
        <v>409</v>
      </c>
      <c r="L300" s="275">
        <v>200</v>
      </c>
      <c r="M300" s="275">
        <v>0</v>
      </c>
      <c r="N300" s="275">
        <v>4</v>
      </c>
      <c r="O300" s="275">
        <v>255</v>
      </c>
      <c r="P300" s="275">
        <v>44</v>
      </c>
      <c r="Q300" s="275">
        <v>653</v>
      </c>
      <c r="R300" s="275">
        <v>342</v>
      </c>
      <c r="S300" s="275">
        <v>375</v>
      </c>
      <c r="T300" s="275">
        <v>146</v>
      </c>
      <c r="U300" s="275">
        <v>4152</v>
      </c>
      <c r="V300" s="276">
        <v>-22</v>
      </c>
      <c r="W300" s="277">
        <v>4130</v>
      </c>
      <c r="X300" s="275">
        <v>628</v>
      </c>
      <c r="Y300" s="275">
        <v>880</v>
      </c>
      <c r="Z300" s="276">
        <v>2644</v>
      </c>
      <c r="AA300" s="285">
        <v>4280</v>
      </c>
      <c r="AB300" s="295">
        <v>4004.7327352691264</v>
      </c>
    </row>
    <row r="301" spans="1:28" ht="13.5" customHeight="1">
      <c r="A301" s="18">
        <v>37</v>
      </c>
      <c r="B301" s="19" t="s">
        <v>49</v>
      </c>
      <c r="C301" s="274">
        <v>1854</v>
      </c>
      <c r="D301" s="275">
        <v>0</v>
      </c>
      <c r="E301" s="275">
        <v>627</v>
      </c>
      <c r="F301" s="275">
        <v>28</v>
      </c>
      <c r="G301" s="275">
        <v>3066</v>
      </c>
      <c r="H301" s="275">
        <v>1128</v>
      </c>
      <c r="I301" s="275">
        <v>1766</v>
      </c>
      <c r="J301" s="275">
        <v>1252</v>
      </c>
      <c r="K301" s="275">
        <v>988</v>
      </c>
      <c r="L301" s="275">
        <v>1245</v>
      </c>
      <c r="M301" s="275">
        <v>0</v>
      </c>
      <c r="N301" s="275">
        <v>201</v>
      </c>
      <c r="O301" s="275">
        <v>1957</v>
      </c>
      <c r="P301" s="275">
        <v>796</v>
      </c>
      <c r="Q301" s="275">
        <v>3948</v>
      </c>
      <c r="R301" s="275">
        <v>1761</v>
      </c>
      <c r="S301" s="275">
        <v>1966</v>
      </c>
      <c r="T301" s="275">
        <v>1147</v>
      </c>
      <c r="U301" s="275">
        <v>23730</v>
      </c>
      <c r="V301" s="276">
        <v>-126</v>
      </c>
      <c r="W301" s="277">
        <v>23604</v>
      </c>
      <c r="X301" s="275">
        <v>2481</v>
      </c>
      <c r="Y301" s="275">
        <v>4860</v>
      </c>
      <c r="Z301" s="276">
        <v>16389</v>
      </c>
      <c r="AA301" s="285">
        <v>4832</v>
      </c>
      <c r="AB301" s="295">
        <v>23101.257724325704</v>
      </c>
    </row>
    <row r="302" spans="1:28" ht="13.5" customHeight="1">
      <c r="A302" s="20">
        <v>38</v>
      </c>
      <c r="B302" s="21" t="s">
        <v>50</v>
      </c>
      <c r="C302" s="278">
        <v>3955</v>
      </c>
      <c r="D302" s="279">
        <v>0</v>
      </c>
      <c r="E302" s="279">
        <v>184</v>
      </c>
      <c r="F302" s="279">
        <v>70</v>
      </c>
      <c r="G302" s="279">
        <v>1548</v>
      </c>
      <c r="H302" s="279">
        <v>1650</v>
      </c>
      <c r="I302" s="279">
        <v>4970</v>
      </c>
      <c r="J302" s="279">
        <v>3290</v>
      </c>
      <c r="K302" s="279">
        <v>1593</v>
      </c>
      <c r="L302" s="279">
        <v>924</v>
      </c>
      <c r="M302" s="279">
        <v>22</v>
      </c>
      <c r="N302" s="279">
        <v>463</v>
      </c>
      <c r="O302" s="279">
        <v>7941</v>
      </c>
      <c r="P302" s="279">
        <v>1989</v>
      </c>
      <c r="Q302" s="279">
        <v>6388</v>
      </c>
      <c r="R302" s="279">
        <v>5670</v>
      </c>
      <c r="S302" s="279">
        <v>10937</v>
      </c>
      <c r="T302" s="279">
        <v>2662</v>
      </c>
      <c r="U302" s="279">
        <v>54256</v>
      </c>
      <c r="V302" s="280">
        <v>-287</v>
      </c>
      <c r="W302" s="281">
        <v>53969</v>
      </c>
      <c r="X302" s="279">
        <v>4139</v>
      </c>
      <c r="Y302" s="279">
        <v>6588</v>
      </c>
      <c r="Z302" s="280">
        <v>43529</v>
      </c>
      <c r="AA302" s="286">
        <v>5075</v>
      </c>
      <c r="AB302" s="296">
        <v>53195.941394251291</v>
      </c>
    </row>
    <row r="303" spans="1:28" ht="13.5" customHeight="1">
      <c r="A303" s="20">
        <v>39</v>
      </c>
      <c r="B303" s="21" t="s">
        <v>42</v>
      </c>
      <c r="C303" s="266">
        <v>1016</v>
      </c>
      <c r="D303" s="267">
        <v>0</v>
      </c>
      <c r="E303" s="267">
        <v>1</v>
      </c>
      <c r="F303" s="267">
        <v>0</v>
      </c>
      <c r="G303" s="267">
        <v>531</v>
      </c>
      <c r="H303" s="267">
        <v>33</v>
      </c>
      <c r="I303" s="267">
        <v>3110</v>
      </c>
      <c r="J303" s="267">
        <v>119</v>
      </c>
      <c r="K303" s="267">
        <v>172</v>
      </c>
      <c r="L303" s="267">
        <v>91</v>
      </c>
      <c r="M303" s="267">
        <v>0</v>
      </c>
      <c r="N303" s="267">
        <v>14</v>
      </c>
      <c r="O303" s="267">
        <v>212</v>
      </c>
      <c r="P303" s="267">
        <v>42</v>
      </c>
      <c r="Q303" s="267">
        <v>588</v>
      </c>
      <c r="R303" s="267">
        <v>325</v>
      </c>
      <c r="S303" s="267">
        <v>154</v>
      </c>
      <c r="T303" s="267">
        <v>114</v>
      </c>
      <c r="U303" s="267">
        <v>6522</v>
      </c>
      <c r="V303" s="268">
        <v>-35</v>
      </c>
      <c r="W303" s="269">
        <v>6487</v>
      </c>
      <c r="X303" s="267">
        <v>1017</v>
      </c>
      <c r="Y303" s="267">
        <v>3641</v>
      </c>
      <c r="Z303" s="268">
        <v>1864</v>
      </c>
      <c r="AA303" s="283">
        <v>8480</v>
      </c>
      <c r="AB303" s="293">
        <v>6311.241768164954</v>
      </c>
    </row>
    <row r="304" spans="1:28" ht="13.5" customHeight="1">
      <c r="A304" s="18">
        <v>40</v>
      </c>
      <c r="B304" s="19" t="s">
        <v>43</v>
      </c>
      <c r="C304" s="270">
        <v>1753</v>
      </c>
      <c r="D304" s="271">
        <v>9</v>
      </c>
      <c r="E304" s="271">
        <v>98</v>
      </c>
      <c r="F304" s="271">
        <v>0</v>
      </c>
      <c r="G304" s="271">
        <v>1531</v>
      </c>
      <c r="H304" s="271">
        <v>305</v>
      </c>
      <c r="I304" s="271">
        <v>1943</v>
      </c>
      <c r="J304" s="271">
        <v>372</v>
      </c>
      <c r="K304" s="271">
        <v>1382</v>
      </c>
      <c r="L304" s="271">
        <v>3060</v>
      </c>
      <c r="M304" s="271">
        <v>0</v>
      </c>
      <c r="N304" s="271">
        <v>20</v>
      </c>
      <c r="O304" s="271">
        <v>1025</v>
      </c>
      <c r="P304" s="271">
        <v>811</v>
      </c>
      <c r="Q304" s="271">
        <v>526</v>
      </c>
      <c r="R304" s="271">
        <v>1950</v>
      </c>
      <c r="S304" s="271">
        <v>452</v>
      </c>
      <c r="T304" s="271">
        <v>1976</v>
      </c>
      <c r="U304" s="271">
        <v>17213</v>
      </c>
      <c r="V304" s="272">
        <v>-91</v>
      </c>
      <c r="W304" s="273">
        <v>17122</v>
      </c>
      <c r="X304" s="271">
        <v>1860</v>
      </c>
      <c r="Y304" s="271">
        <v>3474</v>
      </c>
      <c r="Z304" s="272">
        <v>11879</v>
      </c>
      <c r="AA304" s="284">
        <v>5647</v>
      </c>
      <c r="AB304" s="294">
        <v>16638.677551683362</v>
      </c>
    </row>
    <row r="305" spans="1:28" ht="13.5" customHeight="1">
      <c r="A305" s="20">
        <v>41</v>
      </c>
      <c r="B305" s="21" t="s">
        <v>44</v>
      </c>
      <c r="C305" s="278">
        <v>239</v>
      </c>
      <c r="D305" s="279">
        <v>0</v>
      </c>
      <c r="E305" s="279">
        <v>76</v>
      </c>
      <c r="F305" s="279">
        <v>42</v>
      </c>
      <c r="G305" s="279">
        <v>940</v>
      </c>
      <c r="H305" s="279">
        <v>268</v>
      </c>
      <c r="I305" s="279">
        <v>1752</v>
      </c>
      <c r="J305" s="279">
        <v>180</v>
      </c>
      <c r="K305" s="279">
        <v>384</v>
      </c>
      <c r="L305" s="279">
        <v>479</v>
      </c>
      <c r="M305" s="279">
        <v>0</v>
      </c>
      <c r="N305" s="279">
        <v>5</v>
      </c>
      <c r="O305" s="279">
        <v>321</v>
      </c>
      <c r="P305" s="279">
        <v>144</v>
      </c>
      <c r="Q305" s="279">
        <v>2792</v>
      </c>
      <c r="R305" s="279">
        <v>630</v>
      </c>
      <c r="S305" s="279">
        <v>405</v>
      </c>
      <c r="T305" s="279">
        <v>230</v>
      </c>
      <c r="U305" s="279">
        <v>8887</v>
      </c>
      <c r="V305" s="280">
        <v>-47</v>
      </c>
      <c r="W305" s="281">
        <v>8840</v>
      </c>
      <c r="X305" s="279">
        <v>315</v>
      </c>
      <c r="Y305" s="279">
        <v>2734</v>
      </c>
      <c r="Z305" s="280">
        <v>5838</v>
      </c>
      <c r="AA305" s="286">
        <v>5309</v>
      </c>
      <c r="AB305" s="296">
        <v>8742.4669412751045</v>
      </c>
    </row>
    <row r="306" spans="1:28" ht="15.75" customHeight="1">
      <c r="A306" s="123" t="s">
        <v>146</v>
      </c>
      <c r="B306" s="7" t="s">
        <v>152</v>
      </c>
      <c r="C306" s="270">
        <v>18500</v>
      </c>
      <c r="D306" s="271">
        <v>212</v>
      </c>
      <c r="E306" s="271">
        <v>2256</v>
      </c>
      <c r="F306" s="271">
        <v>2493</v>
      </c>
      <c r="G306" s="271">
        <v>21449</v>
      </c>
      <c r="H306" s="271">
        <v>21296</v>
      </c>
      <c r="I306" s="271">
        <v>49754</v>
      </c>
      <c r="J306" s="271">
        <v>23328</v>
      </c>
      <c r="K306" s="271">
        <v>14919</v>
      </c>
      <c r="L306" s="271">
        <v>31800</v>
      </c>
      <c r="M306" s="271">
        <v>4011</v>
      </c>
      <c r="N306" s="271">
        <v>5624</v>
      </c>
      <c r="O306" s="271">
        <v>37898</v>
      </c>
      <c r="P306" s="271">
        <v>22841</v>
      </c>
      <c r="Q306" s="271">
        <v>28864</v>
      </c>
      <c r="R306" s="271">
        <v>31438</v>
      </c>
      <c r="S306" s="271">
        <v>51129</v>
      </c>
      <c r="T306" s="271">
        <v>24626</v>
      </c>
      <c r="U306" s="271">
        <v>392438</v>
      </c>
      <c r="V306" s="272">
        <v>-2075</v>
      </c>
      <c r="W306" s="273">
        <v>390363</v>
      </c>
      <c r="X306" s="271">
        <v>20968</v>
      </c>
      <c r="Y306" s="271">
        <v>73696</v>
      </c>
      <c r="Z306" s="272">
        <v>297774</v>
      </c>
      <c r="AA306" s="284">
        <v>5119</v>
      </c>
      <c r="AB306" s="294">
        <v>384625.16067856562</v>
      </c>
    </row>
    <row r="307" spans="1:28" ht="15.75" customHeight="1">
      <c r="A307" s="124" t="s">
        <v>147</v>
      </c>
      <c r="B307" s="17" t="s">
        <v>153</v>
      </c>
      <c r="C307" s="274">
        <v>6734</v>
      </c>
      <c r="D307" s="275">
        <v>11</v>
      </c>
      <c r="E307" s="275">
        <v>1867</v>
      </c>
      <c r="F307" s="275">
        <v>1496</v>
      </c>
      <c r="G307" s="275">
        <v>94737</v>
      </c>
      <c r="H307" s="275">
        <v>82622</v>
      </c>
      <c r="I307" s="275">
        <v>145842</v>
      </c>
      <c r="J307" s="275">
        <v>182602</v>
      </c>
      <c r="K307" s="275">
        <v>58531</v>
      </c>
      <c r="L307" s="275">
        <v>56221</v>
      </c>
      <c r="M307" s="275">
        <v>81342</v>
      </c>
      <c r="N307" s="275">
        <v>35974</v>
      </c>
      <c r="O307" s="275">
        <v>208468</v>
      </c>
      <c r="P307" s="275">
        <v>154609</v>
      </c>
      <c r="Q307" s="275">
        <v>89688</v>
      </c>
      <c r="R307" s="275">
        <v>99958</v>
      </c>
      <c r="S307" s="275">
        <v>198339</v>
      </c>
      <c r="T307" s="275">
        <v>92897</v>
      </c>
      <c r="U307" s="275">
        <v>1591938</v>
      </c>
      <c r="V307" s="276">
        <v>-8413</v>
      </c>
      <c r="W307" s="277">
        <v>1583525</v>
      </c>
      <c r="X307" s="275">
        <v>8612</v>
      </c>
      <c r="Y307" s="275">
        <v>242075</v>
      </c>
      <c r="Z307" s="276">
        <v>1341251</v>
      </c>
      <c r="AA307" s="285">
        <v>5942</v>
      </c>
      <c r="AB307" s="295">
        <v>1573234.9424073258</v>
      </c>
    </row>
    <row r="308" spans="1:28" ht="15.75" customHeight="1">
      <c r="A308" s="124" t="s">
        <v>148</v>
      </c>
      <c r="B308" s="17" t="s">
        <v>154</v>
      </c>
      <c r="C308" s="274">
        <v>19463</v>
      </c>
      <c r="D308" s="275">
        <v>17</v>
      </c>
      <c r="E308" s="275">
        <v>2821</v>
      </c>
      <c r="F308" s="275">
        <v>1187</v>
      </c>
      <c r="G308" s="275">
        <v>46383</v>
      </c>
      <c r="H308" s="275">
        <v>17206</v>
      </c>
      <c r="I308" s="275">
        <v>72011</v>
      </c>
      <c r="J308" s="275">
        <v>54016</v>
      </c>
      <c r="K308" s="275">
        <v>31194</v>
      </c>
      <c r="L308" s="275">
        <v>19663</v>
      </c>
      <c r="M308" s="275">
        <v>5766</v>
      </c>
      <c r="N308" s="275">
        <v>7745</v>
      </c>
      <c r="O308" s="275">
        <v>75617</v>
      </c>
      <c r="P308" s="275">
        <v>38810</v>
      </c>
      <c r="Q308" s="275">
        <v>41658</v>
      </c>
      <c r="R308" s="275">
        <v>36112</v>
      </c>
      <c r="S308" s="275">
        <v>101062</v>
      </c>
      <c r="T308" s="275">
        <v>34821</v>
      </c>
      <c r="U308" s="275">
        <v>605552</v>
      </c>
      <c r="V308" s="276">
        <v>-3201</v>
      </c>
      <c r="W308" s="277">
        <v>602351</v>
      </c>
      <c r="X308" s="275">
        <v>22301</v>
      </c>
      <c r="Y308" s="275">
        <v>119581</v>
      </c>
      <c r="Z308" s="276">
        <v>463670</v>
      </c>
      <c r="AA308" s="285">
        <v>5269</v>
      </c>
      <c r="AB308" s="295">
        <v>595155.48071252333</v>
      </c>
    </row>
    <row r="309" spans="1:28" ht="15.75" customHeight="1">
      <c r="A309" s="124" t="s">
        <v>149</v>
      </c>
      <c r="B309" s="17" t="s">
        <v>155</v>
      </c>
      <c r="C309" s="274">
        <v>320</v>
      </c>
      <c r="D309" s="275">
        <v>35</v>
      </c>
      <c r="E309" s="275">
        <v>2263</v>
      </c>
      <c r="F309" s="275">
        <v>413</v>
      </c>
      <c r="G309" s="275">
        <v>9886</v>
      </c>
      <c r="H309" s="275">
        <v>31778</v>
      </c>
      <c r="I309" s="275">
        <v>101960</v>
      </c>
      <c r="J309" s="275">
        <v>120412</v>
      </c>
      <c r="K309" s="275">
        <v>152590</v>
      </c>
      <c r="L309" s="275">
        <v>55896</v>
      </c>
      <c r="M309" s="275">
        <v>106121</v>
      </c>
      <c r="N309" s="275">
        <v>84030</v>
      </c>
      <c r="O309" s="275">
        <v>133388</v>
      </c>
      <c r="P309" s="275">
        <v>180364</v>
      </c>
      <c r="Q309" s="275">
        <v>191890</v>
      </c>
      <c r="R309" s="275">
        <v>38199</v>
      </c>
      <c r="S309" s="275">
        <v>111237</v>
      </c>
      <c r="T309" s="275">
        <v>57055</v>
      </c>
      <c r="U309" s="275">
        <v>1377837</v>
      </c>
      <c r="V309" s="276">
        <v>-7277</v>
      </c>
      <c r="W309" s="277">
        <v>1370560</v>
      </c>
      <c r="X309" s="275">
        <v>2618</v>
      </c>
      <c r="Y309" s="275">
        <v>112259</v>
      </c>
      <c r="Z309" s="276">
        <v>1262960</v>
      </c>
      <c r="AA309" s="285">
        <v>7429</v>
      </c>
      <c r="AB309" s="295">
        <v>1360906.4742973633</v>
      </c>
    </row>
    <row r="310" spans="1:28" ht="15.75" customHeight="1">
      <c r="A310" s="124" t="s">
        <v>150</v>
      </c>
      <c r="B310" s="17" t="s">
        <v>156</v>
      </c>
      <c r="C310" s="274">
        <v>12516</v>
      </c>
      <c r="D310" s="275">
        <v>45</v>
      </c>
      <c r="E310" s="275">
        <v>737</v>
      </c>
      <c r="F310" s="275">
        <v>267</v>
      </c>
      <c r="G310" s="275">
        <v>11644</v>
      </c>
      <c r="H310" s="275">
        <v>6493</v>
      </c>
      <c r="I310" s="275">
        <v>22456</v>
      </c>
      <c r="J310" s="275">
        <v>18930</v>
      </c>
      <c r="K310" s="275">
        <v>9171</v>
      </c>
      <c r="L310" s="275">
        <v>7791</v>
      </c>
      <c r="M310" s="275">
        <v>1723</v>
      </c>
      <c r="N310" s="275">
        <v>2216</v>
      </c>
      <c r="O310" s="275">
        <v>14725</v>
      </c>
      <c r="P310" s="275">
        <v>12466</v>
      </c>
      <c r="Q310" s="275">
        <v>17315</v>
      </c>
      <c r="R310" s="275">
        <v>10334</v>
      </c>
      <c r="S310" s="275">
        <v>20877</v>
      </c>
      <c r="T310" s="275">
        <v>6707</v>
      </c>
      <c r="U310" s="275">
        <v>176413</v>
      </c>
      <c r="V310" s="276">
        <v>-933</v>
      </c>
      <c r="W310" s="277">
        <v>175480</v>
      </c>
      <c r="X310" s="275">
        <v>13298</v>
      </c>
      <c r="Y310" s="275">
        <v>34367</v>
      </c>
      <c r="Z310" s="276">
        <v>128748</v>
      </c>
      <c r="AA310" s="285">
        <v>5952</v>
      </c>
      <c r="AB310" s="295">
        <v>172441.5734146524</v>
      </c>
    </row>
    <row r="311" spans="1:28" ht="15.75" customHeight="1">
      <c r="A311" s="125" t="s">
        <v>151</v>
      </c>
      <c r="B311" s="117" t="s">
        <v>157</v>
      </c>
      <c r="C311" s="278">
        <v>8987</v>
      </c>
      <c r="D311" s="279">
        <v>34</v>
      </c>
      <c r="E311" s="279">
        <v>864</v>
      </c>
      <c r="F311" s="279">
        <v>281</v>
      </c>
      <c r="G311" s="279">
        <v>8371</v>
      </c>
      <c r="H311" s="279">
        <v>7390</v>
      </c>
      <c r="I311" s="279">
        <v>18122</v>
      </c>
      <c r="J311" s="279">
        <v>12803</v>
      </c>
      <c r="K311" s="279">
        <v>17034</v>
      </c>
      <c r="L311" s="279">
        <v>15049</v>
      </c>
      <c r="M311" s="279">
        <v>2115</v>
      </c>
      <c r="N311" s="279">
        <v>2709</v>
      </c>
      <c r="O311" s="279">
        <v>17129</v>
      </c>
      <c r="P311" s="279">
        <v>17504</v>
      </c>
      <c r="Q311" s="279">
        <v>22158</v>
      </c>
      <c r="R311" s="279">
        <v>11421</v>
      </c>
      <c r="S311" s="279">
        <v>14365</v>
      </c>
      <c r="T311" s="279">
        <v>9488</v>
      </c>
      <c r="U311" s="279">
        <v>185824</v>
      </c>
      <c r="V311" s="280">
        <v>-982</v>
      </c>
      <c r="W311" s="281">
        <v>184842</v>
      </c>
      <c r="X311" s="279">
        <v>9885</v>
      </c>
      <c r="Y311" s="279">
        <v>26774</v>
      </c>
      <c r="Z311" s="280">
        <v>149165</v>
      </c>
      <c r="AA311" s="286">
        <v>5810</v>
      </c>
      <c r="AB311" s="296">
        <v>181854.51389641213</v>
      </c>
    </row>
    <row r="312" spans="1:28" ht="15.75" customHeight="1">
      <c r="B312" s="25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4" spans="1:28" ht="13.5" customHeight="1">
      <c r="A314" s="56">
        <f>A262+1</f>
        <v>29</v>
      </c>
      <c r="B314" s="51" t="str">
        <f>IF(A314&lt;22,"令和"&amp;A314&amp;"年度","平成"&amp;A314&amp;"年度")</f>
        <v>平成29年度</v>
      </c>
      <c r="C314" s="57" t="str">
        <f>C$2</f>
        <v>経済活動別市町村内総生産（百万円）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1"/>
      <c r="Y314" s="2"/>
      <c r="Z314" s="58"/>
      <c r="AA314" s="58"/>
      <c r="AB314" s="58"/>
    </row>
    <row r="315" spans="1:28" ht="45" customHeight="1">
      <c r="A315" s="198"/>
      <c r="B315" s="88"/>
      <c r="C315" s="89" t="s">
        <v>51</v>
      </c>
      <c r="D315" s="89" t="s">
        <v>52</v>
      </c>
      <c r="E315" s="89" t="s">
        <v>53</v>
      </c>
      <c r="F315" s="89" t="s">
        <v>54</v>
      </c>
      <c r="G315" s="89" t="s">
        <v>55</v>
      </c>
      <c r="H315" s="89" t="s">
        <v>56</v>
      </c>
      <c r="I315" s="89" t="s">
        <v>57</v>
      </c>
      <c r="J315" s="89" t="s">
        <v>58</v>
      </c>
      <c r="K315" s="89" t="s">
        <v>59</v>
      </c>
      <c r="L315" s="89" t="s">
        <v>60</v>
      </c>
      <c r="M315" s="89" t="s">
        <v>61</v>
      </c>
      <c r="N315" s="89" t="s">
        <v>62</v>
      </c>
      <c r="O315" s="89" t="s">
        <v>63</v>
      </c>
      <c r="P315" s="89" t="s">
        <v>64</v>
      </c>
      <c r="Q315" s="89" t="s">
        <v>65</v>
      </c>
      <c r="R315" s="89" t="s">
        <v>66</v>
      </c>
      <c r="S315" s="89" t="s">
        <v>67</v>
      </c>
      <c r="T315" s="89" t="s">
        <v>68</v>
      </c>
      <c r="U315" s="89" t="s">
        <v>70</v>
      </c>
      <c r="V315" s="90" t="s">
        <v>69</v>
      </c>
      <c r="W315" s="91" t="s">
        <v>71</v>
      </c>
      <c r="X315" s="89" t="s">
        <v>72</v>
      </c>
      <c r="Y315" s="89" t="s">
        <v>73</v>
      </c>
      <c r="Z315" s="89" t="s">
        <v>74</v>
      </c>
      <c r="AA315" s="282" t="s">
        <v>277</v>
      </c>
      <c r="AB315" s="292" t="s">
        <v>278</v>
      </c>
    </row>
    <row r="316" spans="1:28" ht="13.5" customHeight="1">
      <c r="A316" s="165" t="s">
        <v>160</v>
      </c>
      <c r="B316" s="22" t="s">
        <v>0</v>
      </c>
      <c r="C316" s="266">
        <v>53380</v>
      </c>
      <c r="D316" s="267">
        <v>327</v>
      </c>
      <c r="E316" s="267">
        <v>11361</v>
      </c>
      <c r="F316" s="267">
        <v>7071</v>
      </c>
      <c r="G316" s="267">
        <v>191567</v>
      </c>
      <c r="H316" s="267">
        <v>171283</v>
      </c>
      <c r="I316" s="267">
        <v>447606</v>
      </c>
      <c r="J316" s="267">
        <v>424960</v>
      </c>
      <c r="K316" s="267">
        <v>286484</v>
      </c>
      <c r="L316" s="267">
        <v>196319</v>
      </c>
      <c r="M316" s="267">
        <v>194731</v>
      </c>
      <c r="N316" s="267">
        <v>141931</v>
      </c>
      <c r="O316" s="267">
        <v>507635</v>
      </c>
      <c r="P316" s="267">
        <v>422330</v>
      </c>
      <c r="Q316" s="267">
        <v>402009</v>
      </c>
      <c r="R316" s="267">
        <v>234358</v>
      </c>
      <c r="S316" s="267">
        <v>497526</v>
      </c>
      <c r="T316" s="267">
        <v>229823</v>
      </c>
      <c r="U316" s="267">
        <v>4420701</v>
      </c>
      <c r="V316" s="268">
        <v>-24487</v>
      </c>
      <c r="W316" s="269">
        <v>4396214</v>
      </c>
      <c r="X316" s="267">
        <v>65068</v>
      </c>
      <c r="Y316" s="267">
        <v>646244</v>
      </c>
      <c r="Z316" s="268">
        <v>3709389</v>
      </c>
      <c r="AA316" s="283">
        <v>6180</v>
      </c>
      <c r="AB316" s="293">
        <v>4349212</v>
      </c>
    </row>
    <row r="317" spans="1:28" ht="13.5" customHeight="1">
      <c r="A317" s="16" t="s">
        <v>1</v>
      </c>
      <c r="B317" s="17" t="s">
        <v>2</v>
      </c>
      <c r="C317" s="270">
        <v>298</v>
      </c>
      <c r="D317" s="271">
        <v>34</v>
      </c>
      <c r="E317" s="271">
        <v>2508</v>
      </c>
      <c r="F317" s="271">
        <v>479</v>
      </c>
      <c r="G317" s="271">
        <v>13329</v>
      </c>
      <c r="H317" s="271">
        <v>30957</v>
      </c>
      <c r="I317" s="271">
        <v>98269</v>
      </c>
      <c r="J317" s="271">
        <v>124426</v>
      </c>
      <c r="K317" s="271">
        <v>151862</v>
      </c>
      <c r="L317" s="271">
        <v>58290</v>
      </c>
      <c r="M317" s="271">
        <v>103514</v>
      </c>
      <c r="N317" s="271">
        <v>85672</v>
      </c>
      <c r="O317" s="271">
        <v>138783</v>
      </c>
      <c r="P317" s="271">
        <v>177955</v>
      </c>
      <c r="Q317" s="271">
        <v>196269</v>
      </c>
      <c r="R317" s="271">
        <v>39684</v>
      </c>
      <c r="S317" s="271">
        <v>112503</v>
      </c>
      <c r="T317" s="271">
        <v>58273</v>
      </c>
      <c r="U317" s="271">
        <v>1393105</v>
      </c>
      <c r="V317" s="272">
        <v>-7713</v>
      </c>
      <c r="W317" s="273">
        <v>1385392</v>
      </c>
      <c r="X317" s="271">
        <v>2840</v>
      </c>
      <c r="Y317" s="271">
        <v>112077</v>
      </c>
      <c r="Z317" s="272">
        <v>1278188</v>
      </c>
      <c r="AA317" s="284">
        <v>7410</v>
      </c>
      <c r="AB317" s="294">
        <v>1374540.2306729017</v>
      </c>
    </row>
    <row r="318" spans="1:28" ht="13.5" customHeight="1">
      <c r="A318" s="18" t="s">
        <v>3</v>
      </c>
      <c r="B318" s="19" t="s">
        <v>4</v>
      </c>
      <c r="C318" s="274">
        <v>115</v>
      </c>
      <c r="D318" s="275">
        <v>0</v>
      </c>
      <c r="E318" s="275">
        <v>145</v>
      </c>
      <c r="F318" s="275">
        <v>553</v>
      </c>
      <c r="G318" s="275">
        <v>2782</v>
      </c>
      <c r="H318" s="275">
        <v>7767</v>
      </c>
      <c r="I318" s="275">
        <v>22942</v>
      </c>
      <c r="J318" s="275">
        <v>24885</v>
      </c>
      <c r="K318" s="275">
        <v>5583</v>
      </c>
      <c r="L318" s="275">
        <v>8386</v>
      </c>
      <c r="M318" s="275">
        <v>14743</v>
      </c>
      <c r="N318" s="275">
        <v>4622</v>
      </c>
      <c r="O318" s="275">
        <v>34427</v>
      </c>
      <c r="P318" s="275">
        <v>19673</v>
      </c>
      <c r="Q318" s="275">
        <v>8786</v>
      </c>
      <c r="R318" s="275">
        <v>13742</v>
      </c>
      <c r="S318" s="275">
        <v>20325</v>
      </c>
      <c r="T318" s="275">
        <v>13182</v>
      </c>
      <c r="U318" s="275">
        <v>202658</v>
      </c>
      <c r="V318" s="276">
        <v>-1123</v>
      </c>
      <c r="W318" s="277">
        <v>201535</v>
      </c>
      <c r="X318" s="275">
        <v>260</v>
      </c>
      <c r="Y318" s="275">
        <v>26277</v>
      </c>
      <c r="Z318" s="276">
        <v>176121</v>
      </c>
      <c r="AA318" s="285">
        <v>5522</v>
      </c>
      <c r="AB318" s="295">
        <v>199724.6164898421</v>
      </c>
    </row>
    <row r="319" spans="1:28" ht="13.5" customHeight="1">
      <c r="A319" s="18" t="s">
        <v>5</v>
      </c>
      <c r="B319" s="19" t="s">
        <v>6</v>
      </c>
      <c r="C319" s="274">
        <v>6131</v>
      </c>
      <c r="D319" s="275">
        <v>22</v>
      </c>
      <c r="E319" s="275">
        <v>747</v>
      </c>
      <c r="F319" s="275">
        <v>274</v>
      </c>
      <c r="G319" s="275">
        <v>5720</v>
      </c>
      <c r="H319" s="275">
        <v>7208</v>
      </c>
      <c r="I319" s="275">
        <v>19058</v>
      </c>
      <c r="J319" s="275">
        <v>12579</v>
      </c>
      <c r="K319" s="275">
        <v>14746</v>
      </c>
      <c r="L319" s="275">
        <v>12024</v>
      </c>
      <c r="M319" s="275">
        <v>1894</v>
      </c>
      <c r="N319" s="275">
        <v>2690</v>
      </c>
      <c r="O319" s="275">
        <v>16219</v>
      </c>
      <c r="P319" s="275">
        <v>16214</v>
      </c>
      <c r="Q319" s="275">
        <v>19441</v>
      </c>
      <c r="R319" s="275">
        <v>8896</v>
      </c>
      <c r="S319" s="275">
        <v>13468</v>
      </c>
      <c r="T319" s="275">
        <v>7603</v>
      </c>
      <c r="U319" s="275">
        <v>164934</v>
      </c>
      <c r="V319" s="276">
        <v>-914</v>
      </c>
      <c r="W319" s="277">
        <v>164020</v>
      </c>
      <c r="X319" s="275">
        <v>6900</v>
      </c>
      <c r="Y319" s="275">
        <v>25052</v>
      </c>
      <c r="Z319" s="276">
        <v>132982</v>
      </c>
      <c r="AA319" s="285">
        <v>6173</v>
      </c>
      <c r="AB319" s="295">
        <v>161116.89928427862</v>
      </c>
    </row>
    <row r="320" spans="1:28" ht="13.5" customHeight="1">
      <c r="A320" s="18" t="s">
        <v>7</v>
      </c>
      <c r="B320" s="19" t="s">
        <v>8</v>
      </c>
      <c r="C320" s="274">
        <v>28</v>
      </c>
      <c r="D320" s="275">
        <v>2</v>
      </c>
      <c r="E320" s="275">
        <v>206</v>
      </c>
      <c r="F320" s="275">
        <v>147</v>
      </c>
      <c r="G320" s="275">
        <v>21754</v>
      </c>
      <c r="H320" s="275">
        <v>15541</v>
      </c>
      <c r="I320" s="275">
        <v>31185</v>
      </c>
      <c r="J320" s="275">
        <v>80531</v>
      </c>
      <c r="K320" s="275">
        <v>22482</v>
      </c>
      <c r="L320" s="275">
        <v>8488</v>
      </c>
      <c r="M320" s="275">
        <v>37221</v>
      </c>
      <c r="N320" s="275">
        <v>10508</v>
      </c>
      <c r="O320" s="275">
        <v>41081</v>
      </c>
      <c r="P320" s="275">
        <v>48455</v>
      </c>
      <c r="Q320" s="275">
        <v>13822</v>
      </c>
      <c r="R320" s="275">
        <v>17691</v>
      </c>
      <c r="S320" s="275">
        <v>39365</v>
      </c>
      <c r="T320" s="275">
        <v>17953</v>
      </c>
      <c r="U320" s="275">
        <v>406460</v>
      </c>
      <c r="V320" s="276">
        <v>-2251</v>
      </c>
      <c r="W320" s="277">
        <v>404209</v>
      </c>
      <c r="X320" s="275">
        <v>236</v>
      </c>
      <c r="Y320" s="275">
        <v>53086</v>
      </c>
      <c r="Z320" s="276">
        <v>353138</v>
      </c>
      <c r="AA320" s="285">
        <v>6882</v>
      </c>
      <c r="AB320" s="295">
        <v>402620.08502513095</v>
      </c>
    </row>
    <row r="321" spans="1:28" ht="13.5" customHeight="1">
      <c r="A321" s="16" t="s">
        <v>9</v>
      </c>
      <c r="B321" s="17" t="s">
        <v>10</v>
      </c>
      <c r="C321" s="274">
        <v>2988</v>
      </c>
      <c r="D321" s="275">
        <v>71</v>
      </c>
      <c r="E321" s="275">
        <v>446</v>
      </c>
      <c r="F321" s="275">
        <v>1436</v>
      </c>
      <c r="G321" s="275">
        <v>16864</v>
      </c>
      <c r="H321" s="275">
        <v>7205</v>
      </c>
      <c r="I321" s="275">
        <v>33862</v>
      </c>
      <c r="J321" s="275">
        <v>16461</v>
      </c>
      <c r="K321" s="275">
        <v>6053</v>
      </c>
      <c r="L321" s="275">
        <v>12596</v>
      </c>
      <c r="M321" s="275">
        <v>2612</v>
      </c>
      <c r="N321" s="275">
        <v>4488</v>
      </c>
      <c r="O321" s="275">
        <v>20041</v>
      </c>
      <c r="P321" s="275">
        <v>13982</v>
      </c>
      <c r="Q321" s="275">
        <v>13727</v>
      </c>
      <c r="R321" s="275">
        <v>14775</v>
      </c>
      <c r="S321" s="275">
        <v>31386</v>
      </c>
      <c r="T321" s="275">
        <v>9294</v>
      </c>
      <c r="U321" s="275">
        <v>208287</v>
      </c>
      <c r="V321" s="276">
        <v>-1154</v>
      </c>
      <c r="W321" s="277">
        <v>207133</v>
      </c>
      <c r="X321" s="275">
        <v>3505</v>
      </c>
      <c r="Y321" s="275">
        <v>52162</v>
      </c>
      <c r="Z321" s="276">
        <v>152620</v>
      </c>
      <c r="AA321" s="285">
        <v>6108</v>
      </c>
      <c r="AB321" s="295">
        <v>204317.27778216251</v>
      </c>
    </row>
    <row r="322" spans="1:28" ht="13.5" customHeight="1">
      <c r="A322" s="18" t="s">
        <v>11</v>
      </c>
      <c r="B322" s="19" t="s">
        <v>12</v>
      </c>
      <c r="C322" s="274">
        <v>3958</v>
      </c>
      <c r="D322" s="275">
        <v>1</v>
      </c>
      <c r="E322" s="275">
        <v>544</v>
      </c>
      <c r="F322" s="275">
        <v>858</v>
      </c>
      <c r="G322" s="275">
        <v>20601</v>
      </c>
      <c r="H322" s="275">
        <v>3517</v>
      </c>
      <c r="I322" s="275">
        <v>13194</v>
      </c>
      <c r="J322" s="275">
        <v>11632</v>
      </c>
      <c r="K322" s="275">
        <v>7178</v>
      </c>
      <c r="L322" s="275">
        <v>5726</v>
      </c>
      <c r="M322" s="275">
        <v>858</v>
      </c>
      <c r="N322" s="275">
        <v>1897</v>
      </c>
      <c r="O322" s="275">
        <v>17166</v>
      </c>
      <c r="P322" s="275">
        <v>4787</v>
      </c>
      <c r="Q322" s="275">
        <v>7911</v>
      </c>
      <c r="R322" s="275">
        <v>8866</v>
      </c>
      <c r="S322" s="275">
        <v>20171</v>
      </c>
      <c r="T322" s="275">
        <v>8598</v>
      </c>
      <c r="U322" s="275">
        <v>137463</v>
      </c>
      <c r="V322" s="276">
        <v>-761</v>
      </c>
      <c r="W322" s="277">
        <v>136702</v>
      </c>
      <c r="X322" s="275">
        <v>4503</v>
      </c>
      <c r="Y322" s="275">
        <v>34653</v>
      </c>
      <c r="Z322" s="276">
        <v>98307</v>
      </c>
      <c r="AA322" s="285">
        <v>4767</v>
      </c>
      <c r="AB322" s="295">
        <v>134876.46461978421</v>
      </c>
    </row>
    <row r="323" spans="1:28" ht="13.5" customHeight="1">
      <c r="A323" s="18" t="s">
        <v>13</v>
      </c>
      <c r="B323" s="19" t="s">
        <v>14</v>
      </c>
      <c r="C323" s="274">
        <v>1147</v>
      </c>
      <c r="D323" s="275">
        <v>2</v>
      </c>
      <c r="E323" s="275">
        <v>241</v>
      </c>
      <c r="F323" s="275">
        <v>184</v>
      </c>
      <c r="G323" s="275">
        <v>10780</v>
      </c>
      <c r="H323" s="275">
        <v>9011</v>
      </c>
      <c r="I323" s="275">
        <v>34752</v>
      </c>
      <c r="J323" s="275">
        <v>24959</v>
      </c>
      <c r="K323" s="275">
        <v>10614</v>
      </c>
      <c r="L323" s="275">
        <v>13881</v>
      </c>
      <c r="M323" s="275">
        <v>3395</v>
      </c>
      <c r="N323" s="275">
        <v>9907</v>
      </c>
      <c r="O323" s="275">
        <v>47149</v>
      </c>
      <c r="P323" s="275">
        <v>32242</v>
      </c>
      <c r="Q323" s="275">
        <v>27295</v>
      </c>
      <c r="R323" s="275">
        <v>19709</v>
      </c>
      <c r="S323" s="275">
        <v>56525</v>
      </c>
      <c r="T323" s="275">
        <v>20602</v>
      </c>
      <c r="U323" s="275">
        <v>322395</v>
      </c>
      <c r="V323" s="276">
        <v>-1786</v>
      </c>
      <c r="W323" s="277">
        <v>320609</v>
      </c>
      <c r="X323" s="275">
        <v>1390</v>
      </c>
      <c r="Y323" s="275">
        <v>45716</v>
      </c>
      <c r="Z323" s="276">
        <v>275289</v>
      </c>
      <c r="AA323" s="285">
        <v>5884</v>
      </c>
      <c r="AB323" s="295">
        <v>317086.81645430322</v>
      </c>
    </row>
    <row r="324" spans="1:28" ht="13.5" customHeight="1">
      <c r="A324" s="18" t="s">
        <v>15</v>
      </c>
      <c r="B324" s="19" t="s">
        <v>45</v>
      </c>
      <c r="C324" s="274">
        <v>1481</v>
      </c>
      <c r="D324" s="275">
        <v>2</v>
      </c>
      <c r="E324" s="275">
        <v>316</v>
      </c>
      <c r="F324" s="275">
        <v>95</v>
      </c>
      <c r="G324" s="275">
        <v>4763</v>
      </c>
      <c r="H324" s="275">
        <v>3585</v>
      </c>
      <c r="I324" s="275">
        <v>14156</v>
      </c>
      <c r="J324" s="275">
        <v>16476</v>
      </c>
      <c r="K324" s="275">
        <v>14087</v>
      </c>
      <c r="L324" s="275">
        <v>4484</v>
      </c>
      <c r="M324" s="275">
        <v>4253</v>
      </c>
      <c r="N324" s="275">
        <v>2051</v>
      </c>
      <c r="O324" s="275">
        <v>20046</v>
      </c>
      <c r="P324" s="275">
        <v>22422</v>
      </c>
      <c r="Q324" s="275">
        <v>6225</v>
      </c>
      <c r="R324" s="275">
        <v>7291</v>
      </c>
      <c r="S324" s="275">
        <v>25913</v>
      </c>
      <c r="T324" s="275">
        <v>7251</v>
      </c>
      <c r="U324" s="275">
        <v>154897</v>
      </c>
      <c r="V324" s="276">
        <v>-858</v>
      </c>
      <c r="W324" s="277">
        <v>154039</v>
      </c>
      <c r="X324" s="275">
        <v>1799</v>
      </c>
      <c r="Y324" s="275">
        <v>19014</v>
      </c>
      <c r="Z324" s="276">
        <v>134084</v>
      </c>
      <c r="AA324" s="285">
        <v>5900</v>
      </c>
      <c r="AB324" s="295">
        <v>152083.6104979036</v>
      </c>
    </row>
    <row r="325" spans="1:28" ht="13.5" customHeight="1">
      <c r="A325" s="18" t="s">
        <v>16</v>
      </c>
      <c r="B325" s="19" t="s">
        <v>46</v>
      </c>
      <c r="C325" s="274">
        <v>2669</v>
      </c>
      <c r="D325" s="275">
        <v>1</v>
      </c>
      <c r="E325" s="275">
        <v>981</v>
      </c>
      <c r="F325" s="275">
        <v>369</v>
      </c>
      <c r="G325" s="275">
        <v>24580</v>
      </c>
      <c r="H325" s="275">
        <v>25178</v>
      </c>
      <c r="I325" s="275">
        <v>28855</v>
      </c>
      <c r="J325" s="275">
        <v>23700</v>
      </c>
      <c r="K325" s="275">
        <v>10382</v>
      </c>
      <c r="L325" s="275">
        <v>8046</v>
      </c>
      <c r="M325" s="275">
        <v>15468</v>
      </c>
      <c r="N325" s="275">
        <v>4899</v>
      </c>
      <c r="O325" s="275">
        <v>39634</v>
      </c>
      <c r="P325" s="275">
        <v>32786</v>
      </c>
      <c r="Q325" s="275">
        <v>20219</v>
      </c>
      <c r="R325" s="275">
        <v>15489</v>
      </c>
      <c r="S325" s="275">
        <v>32691</v>
      </c>
      <c r="T325" s="275">
        <v>16136</v>
      </c>
      <c r="U325" s="275">
        <v>302083</v>
      </c>
      <c r="V325" s="276">
        <v>-1673</v>
      </c>
      <c r="W325" s="277">
        <v>300410</v>
      </c>
      <c r="X325" s="275">
        <v>3651</v>
      </c>
      <c r="Y325" s="275">
        <v>53804</v>
      </c>
      <c r="Z325" s="276">
        <v>244628</v>
      </c>
      <c r="AA325" s="285">
        <v>6465</v>
      </c>
      <c r="AB325" s="295">
        <v>298003.8393990029</v>
      </c>
    </row>
    <row r="326" spans="1:28" ht="13.5" customHeight="1">
      <c r="A326" s="18">
        <v>10</v>
      </c>
      <c r="B326" s="19" t="s">
        <v>47</v>
      </c>
      <c r="C326" s="274">
        <v>8003</v>
      </c>
      <c r="D326" s="275">
        <v>44</v>
      </c>
      <c r="E326" s="275">
        <v>760</v>
      </c>
      <c r="F326" s="275">
        <v>311</v>
      </c>
      <c r="G326" s="275">
        <v>8634</v>
      </c>
      <c r="H326" s="275">
        <v>6563</v>
      </c>
      <c r="I326" s="275">
        <v>30374</v>
      </c>
      <c r="J326" s="275">
        <v>19421</v>
      </c>
      <c r="K326" s="275">
        <v>9495</v>
      </c>
      <c r="L326" s="275">
        <v>8687</v>
      </c>
      <c r="M326" s="275">
        <v>1809</v>
      </c>
      <c r="N326" s="275">
        <v>2314</v>
      </c>
      <c r="O326" s="275">
        <v>15151</v>
      </c>
      <c r="P326" s="275">
        <v>12425</v>
      </c>
      <c r="Q326" s="275">
        <v>17149</v>
      </c>
      <c r="R326" s="275">
        <v>10065</v>
      </c>
      <c r="S326" s="275">
        <v>20294</v>
      </c>
      <c r="T326" s="275">
        <v>6916</v>
      </c>
      <c r="U326" s="275">
        <v>178415</v>
      </c>
      <c r="V326" s="276">
        <v>-989</v>
      </c>
      <c r="W326" s="277">
        <v>177426</v>
      </c>
      <c r="X326" s="275">
        <v>8807</v>
      </c>
      <c r="Y326" s="275">
        <v>39319</v>
      </c>
      <c r="Z326" s="276">
        <v>130289</v>
      </c>
      <c r="AA326" s="285">
        <v>6044</v>
      </c>
      <c r="AB326" s="295">
        <v>173876.9040397619</v>
      </c>
    </row>
    <row r="327" spans="1:28" ht="13.5" customHeight="1">
      <c r="A327" s="20">
        <v>11</v>
      </c>
      <c r="B327" s="21" t="s">
        <v>48</v>
      </c>
      <c r="C327" s="278">
        <v>2924</v>
      </c>
      <c r="D327" s="279">
        <v>3</v>
      </c>
      <c r="E327" s="279">
        <v>632</v>
      </c>
      <c r="F327" s="279">
        <v>100</v>
      </c>
      <c r="G327" s="279">
        <v>8781</v>
      </c>
      <c r="H327" s="279">
        <v>3249</v>
      </c>
      <c r="I327" s="279">
        <v>12731</v>
      </c>
      <c r="J327" s="279">
        <v>4367</v>
      </c>
      <c r="K327" s="279">
        <v>3951</v>
      </c>
      <c r="L327" s="279">
        <v>1994</v>
      </c>
      <c r="M327" s="279">
        <v>1380</v>
      </c>
      <c r="N327" s="279">
        <v>513</v>
      </c>
      <c r="O327" s="279">
        <v>11848</v>
      </c>
      <c r="P327" s="279">
        <v>2144</v>
      </c>
      <c r="Q327" s="279">
        <v>9272</v>
      </c>
      <c r="R327" s="279">
        <v>3506</v>
      </c>
      <c r="S327" s="279">
        <v>9424</v>
      </c>
      <c r="T327" s="279">
        <v>5103</v>
      </c>
      <c r="U327" s="279">
        <v>81922</v>
      </c>
      <c r="V327" s="280">
        <v>-454</v>
      </c>
      <c r="W327" s="281">
        <v>81468</v>
      </c>
      <c r="X327" s="279">
        <v>3559</v>
      </c>
      <c r="Y327" s="279">
        <v>21612</v>
      </c>
      <c r="Z327" s="280">
        <v>56751</v>
      </c>
      <c r="AA327" s="286">
        <v>4945</v>
      </c>
      <c r="AB327" s="296">
        <v>80220.740422564326</v>
      </c>
    </row>
    <row r="328" spans="1:28" ht="13.5" customHeight="1">
      <c r="A328" s="18">
        <v>12</v>
      </c>
      <c r="B328" s="19" t="s">
        <v>17</v>
      </c>
      <c r="C328" s="270">
        <v>2054</v>
      </c>
      <c r="D328" s="271">
        <v>77</v>
      </c>
      <c r="E328" s="271">
        <v>53</v>
      </c>
      <c r="F328" s="271">
        <v>184</v>
      </c>
      <c r="G328" s="271">
        <v>151</v>
      </c>
      <c r="H328" s="271">
        <v>466</v>
      </c>
      <c r="I328" s="271">
        <v>2245</v>
      </c>
      <c r="J328" s="271">
        <v>481</v>
      </c>
      <c r="K328" s="271">
        <v>138</v>
      </c>
      <c r="L328" s="271">
        <v>1740</v>
      </c>
      <c r="M328" s="271">
        <v>0</v>
      </c>
      <c r="N328" s="271">
        <v>133</v>
      </c>
      <c r="O328" s="271">
        <v>1074</v>
      </c>
      <c r="P328" s="271">
        <v>203</v>
      </c>
      <c r="Q328" s="271">
        <v>1322</v>
      </c>
      <c r="R328" s="271">
        <v>1035</v>
      </c>
      <c r="S328" s="271">
        <v>829</v>
      </c>
      <c r="T328" s="271">
        <v>567</v>
      </c>
      <c r="U328" s="271">
        <v>12752</v>
      </c>
      <c r="V328" s="272">
        <v>-71</v>
      </c>
      <c r="W328" s="273">
        <v>12681</v>
      </c>
      <c r="X328" s="271">
        <v>2184</v>
      </c>
      <c r="Y328" s="271">
        <v>2580</v>
      </c>
      <c r="Z328" s="272">
        <v>7988</v>
      </c>
      <c r="AA328" s="284">
        <v>4278</v>
      </c>
      <c r="AB328" s="294">
        <v>12238.933691691118</v>
      </c>
    </row>
    <row r="329" spans="1:28" ht="13.5" customHeight="1">
      <c r="A329" s="18">
        <v>13</v>
      </c>
      <c r="B329" s="19" t="s">
        <v>18</v>
      </c>
      <c r="C329" s="274">
        <v>1429</v>
      </c>
      <c r="D329" s="275">
        <v>7</v>
      </c>
      <c r="E329" s="275">
        <v>274</v>
      </c>
      <c r="F329" s="275">
        <v>0</v>
      </c>
      <c r="G329" s="275">
        <v>197</v>
      </c>
      <c r="H329" s="275">
        <v>256</v>
      </c>
      <c r="I329" s="275">
        <v>963</v>
      </c>
      <c r="J329" s="275">
        <v>191</v>
      </c>
      <c r="K329" s="275">
        <v>454</v>
      </c>
      <c r="L329" s="275">
        <v>93</v>
      </c>
      <c r="M329" s="275">
        <v>0</v>
      </c>
      <c r="N329" s="275">
        <v>3</v>
      </c>
      <c r="O329" s="275">
        <v>740</v>
      </c>
      <c r="P329" s="275">
        <v>229</v>
      </c>
      <c r="Q329" s="275">
        <v>828</v>
      </c>
      <c r="R329" s="275">
        <v>647</v>
      </c>
      <c r="S329" s="275">
        <v>854</v>
      </c>
      <c r="T329" s="275">
        <v>304</v>
      </c>
      <c r="U329" s="275">
        <v>7469</v>
      </c>
      <c r="V329" s="276">
        <v>-41</v>
      </c>
      <c r="W329" s="277">
        <v>7428</v>
      </c>
      <c r="X329" s="275">
        <v>1710</v>
      </c>
      <c r="Y329" s="275">
        <v>1160</v>
      </c>
      <c r="Z329" s="276">
        <v>4599</v>
      </c>
      <c r="AA329" s="285">
        <v>4173</v>
      </c>
      <c r="AB329" s="295">
        <v>7090.2780993536853</v>
      </c>
    </row>
    <row r="330" spans="1:28" ht="13.5" customHeight="1">
      <c r="A330" s="18">
        <v>14</v>
      </c>
      <c r="B330" s="19" t="s">
        <v>19</v>
      </c>
      <c r="C330" s="274">
        <v>789</v>
      </c>
      <c r="D330" s="275">
        <v>5</v>
      </c>
      <c r="E330" s="275">
        <v>30</v>
      </c>
      <c r="F330" s="275">
        <v>0</v>
      </c>
      <c r="G330" s="275">
        <v>425</v>
      </c>
      <c r="H330" s="275">
        <v>38</v>
      </c>
      <c r="I330" s="275">
        <v>1082</v>
      </c>
      <c r="J330" s="275">
        <v>107</v>
      </c>
      <c r="K330" s="275">
        <v>126</v>
      </c>
      <c r="L330" s="275">
        <v>262</v>
      </c>
      <c r="M330" s="275">
        <v>0</v>
      </c>
      <c r="N330" s="275">
        <v>3</v>
      </c>
      <c r="O330" s="275">
        <v>349</v>
      </c>
      <c r="P330" s="275">
        <v>1478</v>
      </c>
      <c r="Q330" s="275">
        <v>751</v>
      </c>
      <c r="R330" s="275">
        <v>534</v>
      </c>
      <c r="S330" s="275">
        <v>313</v>
      </c>
      <c r="T330" s="275">
        <v>243</v>
      </c>
      <c r="U330" s="275">
        <v>6535</v>
      </c>
      <c r="V330" s="276">
        <v>-36</v>
      </c>
      <c r="W330" s="277">
        <v>6499</v>
      </c>
      <c r="X330" s="275">
        <v>824</v>
      </c>
      <c r="Y330" s="275">
        <v>1507</v>
      </c>
      <c r="Z330" s="276">
        <v>4204</v>
      </c>
      <c r="AA330" s="285">
        <v>5203</v>
      </c>
      <c r="AB330" s="295">
        <v>6314.4569559102738</v>
      </c>
    </row>
    <row r="331" spans="1:28" ht="13.5" customHeight="1">
      <c r="A331" s="18">
        <v>15</v>
      </c>
      <c r="B331" s="19" t="s">
        <v>20</v>
      </c>
      <c r="C331" s="274">
        <v>2001</v>
      </c>
      <c r="D331" s="275">
        <v>7</v>
      </c>
      <c r="E331" s="275">
        <v>113</v>
      </c>
      <c r="F331" s="275">
        <v>11</v>
      </c>
      <c r="G331" s="275">
        <v>803</v>
      </c>
      <c r="H331" s="275">
        <v>638</v>
      </c>
      <c r="I331" s="275">
        <v>3332</v>
      </c>
      <c r="J331" s="275">
        <v>615</v>
      </c>
      <c r="K331" s="275">
        <v>416</v>
      </c>
      <c r="L331" s="275">
        <v>1313</v>
      </c>
      <c r="M331" s="275">
        <v>1</v>
      </c>
      <c r="N331" s="275">
        <v>96</v>
      </c>
      <c r="O331" s="275">
        <v>2108</v>
      </c>
      <c r="P331" s="275">
        <v>987</v>
      </c>
      <c r="Q331" s="275">
        <v>1290</v>
      </c>
      <c r="R331" s="275">
        <v>1223</v>
      </c>
      <c r="S331" s="275">
        <v>2251</v>
      </c>
      <c r="T331" s="275">
        <v>1526</v>
      </c>
      <c r="U331" s="275">
        <v>18731</v>
      </c>
      <c r="V331" s="276">
        <v>-104</v>
      </c>
      <c r="W331" s="277">
        <v>18627</v>
      </c>
      <c r="X331" s="275">
        <v>2121</v>
      </c>
      <c r="Y331" s="275">
        <v>4146</v>
      </c>
      <c r="Z331" s="276">
        <v>12464</v>
      </c>
      <c r="AA331" s="285">
        <v>4024</v>
      </c>
      <c r="AB331" s="295">
        <v>18106.616797391445</v>
      </c>
    </row>
    <row r="332" spans="1:28" ht="13.5" customHeight="1">
      <c r="A332" s="18">
        <v>16</v>
      </c>
      <c r="B332" s="19" t="s">
        <v>21</v>
      </c>
      <c r="C332" s="274">
        <v>1336</v>
      </c>
      <c r="D332" s="275">
        <v>2</v>
      </c>
      <c r="E332" s="275">
        <v>393</v>
      </c>
      <c r="F332" s="275">
        <v>1064</v>
      </c>
      <c r="G332" s="275">
        <v>1327</v>
      </c>
      <c r="H332" s="275">
        <v>1159</v>
      </c>
      <c r="I332" s="275">
        <v>5220</v>
      </c>
      <c r="J332" s="275">
        <v>1776</v>
      </c>
      <c r="K332" s="275">
        <v>1552</v>
      </c>
      <c r="L332" s="275">
        <v>3785</v>
      </c>
      <c r="M332" s="275">
        <v>0</v>
      </c>
      <c r="N332" s="275">
        <v>492</v>
      </c>
      <c r="O332" s="275">
        <v>3636</v>
      </c>
      <c r="P332" s="275">
        <v>2171</v>
      </c>
      <c r="Q332" s="275">
        <v>2096</v>
      </c>
      <c r="R332" s="275">
        <v>2008</v>
      </c>
      <c r="S332" s="275">
        <v>4513</v>
      </c>
      <c r="T332" s="275">
        <v>6006</v>
      </c>
      <c r="U332" s="275">
        <v>38536</v>
      </c>
      <c r="V332" s="276">
        <v>-214</v>
      </c>
      <c r="W332" s="277">
        <v>38322</v>
      </c>
      <c r="X332" s="275">
        <v>1731</v>
      </c>
      <c r="Y332" s="275">
        <v>7611</v>
      </c>
      <c r="Z332" s="276">
        <v>29194</v>
      </c>
      <c r="AA332" s="285">
        <v>4479</v>
      </c>
      <c r="AB332" s="295">
        <v>37573.675352096441</v>
      </c>
    </row>
    <row r="333" spans="1:28" ht="13.5" customHeight="1">
      <c r="A333" s="18">
        <v>17</v>
      </c>
      <c r="B333" s="19" t="s">
        <v>22</v>
      </c>
      <c r="C333" s="274">
        <v>740</v>
      </c>
      <c r="D333" s="275">
        <v>12</v>
      </c>
      <c r="E333" s="275">
        <v>353</v>
      </c>
      <c r="F333" s="275">
        <v>100</v>
      </c>
      <c r="G333" s="275">
        <v>367</v>
      </c>
      <c r="H333" s="275">
        <v>669</v>
      </c>
      <c r="I333" s="275">
        <v>7371</v>
      </c>
      <c r="J333" s="275">
        <v>1583</v>
      </c>
      <c r="K333" s="275">
        <v>1323</v>
      </c>
      <c r="L333" s="275">
        <v>11855</v>
      </c>
      <c r="M333" s="275">
        <v>124</v>
      </c>
      <c r="N333" s="275">
        <v>146</v>
      </c>
      <c r="O333" s="275">
        <v>4681</v>
      </c>
      <c r="P333" s="275">
        <v>1687</v>
      </c>
      <c r="Q333" s="275">
        <v>3511</v>
      </c>
      <c r="R333" s="275">
        <v>8462</v>
      </c>
      <c r="S333" s="275">
        <v>1439</v>
      </c>
      <c r="T333" s="275">
        <v>3788</v>
      </c>
      <c r="U333" s="275">
        <v>48211</v>
      </c>
      <c r="V333" s="276">
        <v>-267</v>
      </c>
      <c r="W333" s="277">
        <v>47944</v>
      </c>
      <c r="X333" s="275">
        <v>1105</v>
      </c>
      <c r="Y333" s="275">
        <v>7838</v>
      </c>
      <c r="Z333" s="276">
        <v>39268</v>
      </c>
      <c r="AA333" s="285">
        <v>4588</v>
      </c>
      <c r="AB333" s="295">
        <v>46877.884050715278</v>
      </c>
    </row>
    <row r="334" spans="1:28" ht="13.5" customHeight="1">
      <c r="A334" s="18">
        <v>18</v>
      </c>
      <c r="B334" s="19" t="s">
        <v>23</v>
      </c>
      <c r="C334" s="274">
        <v>707</v>
      </c>
      <c r="D334" s="275">
        <v>4</v>
      </c>
      <c r="E334" s="275">
        <v>181</v>
      </c>
      <c r="F334" s="275">
        <v>16</v>
      </c>
      <c r="G334" s="275">
        <v>198</v>
      </c>
      <c r="H334" s="275">
        <v>517</v>
      </c>
      <c r="I334" s="275">
        <v>3254</v>
      </c>
      <c r="J334" s="275">
        <v>471</v>
      </c>
      <c r="K334" s="275">
        <v>1833</v>
      </c>
      <c r="L334" s="275">
        <v>267</v>
      </c>
      <c r="M334" s="275">
        <v>906</v>
      </c>
      <c r="N334" s="275">
        <v>40</v>
      </c>
      <c r="O334" s="275">
        <v>1518</v>
      </c>
      <c r="P334" s="275">
        <v>1389</v>
      </c>
      <c r="Q334" s="275">
        <v>1480</v>
      </c>
      <c r="R334" s="275">
        <v>1151</v>
      </c>
      <c r="S334" s="275">
        <v>1956</v>
      </c>
      <c r="T334" s="275">
        <v>983</v>
      </c>
      <c r="U334" s="275">
        <v>16871</v>
      </c>
      <c r="V334" s="276">
        <v>-94</v>
      </c>
      <c r="W334" s="277">
        <v>16777</v>
      </c>
      <c r="X334" s="275">
        <v>892</v>
      </c>
      <c r="Y334" s="275">
        <v>3468</v>
      </c>
      <c r="Z334" s="276">
        <v>12511</v>
      </c>
      <c r="AA334" s="285">
        <v>5672</v>
      </c>
      <c r="AB334" s="295">
        <v>16471.737260818492</v>
      </c>
    </row>
    <row r="335" spans="1:28" ht="13.5" customHeight="1">
      <c r="A335" s="18">
        <v>19</v>
      </c>
      <c r="B335" s="19" t="s">
        <v>24</v>
      </c>
      <c r="C335" s="274">
        <v>828</v>
      </c>
      <c r="D335" s="275">
        <v>0</v>
      </c>
      <c r="E335" s="275">
        <v>79</v>
      </c>
      <c r="F335" s="275">
        <v>47</v>
      </c>
      <c r="G335" s="275">
        <v>687</v>
      </c>
      <c r="H335" s="275">
        <v>10353</v>
      </c>
      <c r="I335" s="275">
        <v>4769</v>
      </c>
      <c r="J335" s="275">
        <v>1128</v>
      </c>
      <c r="K335" s="275">
        <v>2577</v>
      </c>
      <c r="L335" s="275">
        <v>925</v>
      </c>
      <c r="M335" s="275">
        <v>309</v>
      </c>
      <c r="N335" s="275">
        <v>297</v>
      </c>
      <c r="O335" s="275">
        <v>3437</v>
      </c>
      <c r="P335" s="275">
        <v>500</v>
      </c>
      <c r="Q335" s="275">
        <v>1945</v>
      </c>
      <c r="R335" s="275">
        <v>1566</v>
      </c>
      <c r="S335" s="275">
        <v>5712</v>
      </c>
      <c r="T335" s="275">
        <v>1372</v>
      </c>
      <c r="U335" s="275">
        <v>36531</v>
      </c>
      <c r="V335" s="276">
        <v>-202</v>
      </c>
      <c r="W335" s="277">
        <v>36329</v>
      </c>
      <c r="X335" s="275">
        <v>907</v>
      </c>
      <c r="Y335" s="275">
        <v>5503</v>
      </c>
      <c r="Z335" s="276">
        <v>30121</v>
      </c>
      <c r="AA335" s="285">
        <v>6307</v>
      </c>
      <c r="AB335" s="295">
        <v>36130.794880990477</v>
      </c>
    </row>
    <row r="336" spans="1:28" ht="13.5" customHeight="1">
      <c r="A336" s="20">
        <v>20</v>
      </c>
      <c r="B336" s="21" t="s">
        <v>25</v>
      </c>
      <c r="C336" s="278">
        <v>2188</v>
      </c>
      <c r="D336" s="279">
        <v>2</v>
      </c>
      <c r="E336" s="279">
        <v>129</v>
      </c>
      <c r="F336" s="279">
        <v>21</v>
      </c>
      <c r="G336" s="279">
        <v>355</v>
      </c>
      <c r="H336" s="279">
        <v>339</v>
      </c>
      <c r="I336" s="279">
        <v>1336</v>
      </c>
      <c r="J336" s="279">
        <v>691</v>
      </c>
      <c r="K336" s="279">
        <v>545</v>
      </c>
      <c r="L336" s="279">
        <v>666</v>
      </c>
      <c r="M336" s="279">
        <v>32</v>
      </c>
      <c r="N336" s="279">
        <v>16</v>
      </c>
      <c r="O336" s="279">
        <v>1128</v>
      </c>
      <c r="P336" s="279">
        <v>296</v>
      </c>
      <c r="Q336" s="279">
        <v>1281</v>
      </c>
      <c r="R336" s="279">
        <v>600</v>
      </c>
      <c r="S336" s="279">
        <v>911</v>
      </c>
      <c r="T336" s="279">
        <v>695</v>
      </c>
      <c r="U336" s="279">
        <v>11231</v>
      </c>
      <c r="V336" s="280">
        <v>-62</v>
      </c>
      <c r="W336" s="281">
        <v>11169</v>
      </c>
      <c r="X336" s="279">
        <v>2319</v>
      </c>
      <c r="Y336" s="279">
        <v>1712</v>
      </c>
      <c r="Z336" s="280">
        <v>7200</v>
      </c>
      <c r="AA336" s="286">
        <v>3851</v>
      </c>
      <c r="AB336" s="296">
        <v>10748.091765122404</v>
      </c>
    </row>
    <row r="337" spans="1:28" ht="13.5" customHeight="1">
      <c r="A337" s="18">
        <v>21</v>
      </c>
      <c r="B337" s="19" t="s">
        <v>26</v>
      </c>
      <c r="C337" s="270">
        <v>1034</v>
      </c>
      <c r="D337" s="271">
        <v>3</v>
      </c>
      <c r="E337" s="271">
        <v>116</v>
      </c>
      <c r="F337" s="271">
        <v>168</v>
      </c>
      <c r="G337" s="271">
        <v>7075</v>
      </c>
      <c r="H337" s="271">
        <v>2192</v>
      </c>
      <c r="I337" s="271">
        <v>9211</v>
      </c>
      <c r="J337" s="271">
        <v>3811</v>
      </c>
      <c r="K337" s="271">
        <v>808</v>
      </c>
      <c r="L337" s="271">
        <v>4563</v>
      </c>
      <c r="M337" s="271">
        <v>54</v>
      </c>
      <c r="N337" s="271">
        <v>635</v>
      </c>
      <c r="O337" s="271">
        <v>14310</v>
      </c>
      <c r="P337" s="271">
        <v>2233</v>
      </c>
      <c r="Q337" s="271">
        <v>3230</v>
      </c>
      <c r="R337" s="271">
        <v>3930</v>
      </c>
      <c r="S337" s="271">
        <v>5339</v>
      </c>
      <c r="T337" s="271">
        <v>5943</v>
      </c>
      <c r="U337" s="271">
        <v>64655</v>
      </c>
      <c r="V337" s="272">
        <v>-358</v>
      </c>
      <c r="W337" s="273">
        <v>64297</v>
      </c>
      <c r="X337" s="271">
        <v>1153</v>
      </c>
      <c r="Y337" s="271">
        <v>16454</v>
      </c>
      <c r="Z337" s="272">
        <v>47048</v>
      </c>
      <c r="AA337" s="284">
        <v>4930</v>
      </c>
      <c r="AB337" s="294">
        <v>63560.474586717937</v>
      </c>
    </row>
    <row r="338" spans="1:28" ht="13.5" customHeight="1">
      <c r="A338" s="18">
        <v>22</v>
      </c>
      <c r="B338" s="19" t="s">
        <v>27</v>
      </c>
      <c r="C338" s="274">
        <v>45</v>
      </c>
      <c r="D338" s="275">
        <v>0</v>
      </c>
      <c r="E338" s="275">
        <v>9</v>
      </c>
      <c r="F338" s="275">
        <v>0</v>
      </c>
      <c r="G338" s="275">
        <v>907</v>
      </c>
      <c r="H338" s="275">
        <v>831</v>
      </c>
      <c r="I338" s="275">
        <v>4419</v>
      </c>
      <c r="J338" s="275">
        <v>1725</v>
      </c>
      <c r="K338" s="275">
        <v>477</v>
      </c>
      <c r="L338" s="275">
        <v>932</v>
      </c>
      <c r="M338" s="275">
        <v>678</v>
      </c>
      <c r="N338" s="275">
        <v>1734</v>
      </c>
      <c r="O338" s="275">
        <v>4142</v>
      </c>
      <c r="P338" s="275">
        <v>3089</v>
      </c>
      <c r="Q338" s="275">
        <v>11005</v>
      </c>
      <c r="R338" s="275">
        <v>1835</v>
      </c>
      <c r="S338" s="275">
        <v>4081</v>
      </c>
      <c r="T338" s="275">
        <v>1957</v>
      </c>
      <c r="U338" s="275">
        <v>37866</v>
      </c>
      <c r="V338" s="276">
        <v>-210</v>
      </c>
      <c r="W338" s="277">
        <v>37656</v>
      </c>
      <c r="X338" s="275">
        <v>54</v>
      </c>
      <c r="Y338" s="275">
        <v>5326</v>
      </c>
      <c r="Z338" s="276">
        <v>32486</v>
      </c>
      <c r="AA338" s="285">
        <v>4863</v>
      </c>
      <c r="AB338" s="295">
        <v>37310.611065773955</v>
      </c>
    </row>
    <row r="339" spans="1:28" ht="13.5" customHeight="1">
      <c r="A339" s="18">
        <v>23</v>
      </c>
      <c r="B339" s="19" t="s">
        <v>28</v>
      </c>
      <c r="C339" s="274">
        <v>1</v>
      </c>
      <c r="D339" s="275">
        <v>1</v>
      </c>
      <c r="E339" s="275">
        <v>102</v>
      </c>
      <c r="F339" s="275">
        <v>16</v>
      </c>
      <c r="G339" s="275">
        <v>503</v>
      </c>
      <c r="H339" s="275">
        <v>6156</v>
      </c>
      <c r="I339" s="275">
        <v>9248</v>
      </c>
      <c r="J339" s="275">
        <v>8628</v>
      </c>
      <c r="K339" s="275">
        <v>868</v>
      </c>
      <c r="L339" s="275">
        <v>7709</v>
      </c>
      <c r="M339" s="275">
        <v>3238</v>
      </c>
      <c r="N339" s="275">
        <v>2489</v>
      </c>
      <c r="O339" s="275">
        <v>15308</v>
      </c>
      <c r="P339" s="275">
        <v>7638</v>
      </c>
      <c r="Q339" s="275">
        <v>2815</v>
      </c>
      <c r="R339" s="275">
        <v>3043</v>
      </c>
      <c r="S339" s="275">
        <v>6355</v>
      </c>
      <c r="T339" s="275">
        <v>6906</v>
      </c>
      <c r="U339" s="275">
        <v>81024</v>
      </c>
      <c r="V339" s="276">
        <v>-449</v>
      </c>
      <c r="W339" s="277">
        <v>80575</v>
      </c>
      <c r="X339" s="275">
        <v>104</v>
      </c>
      <c r="Y339" s="275">
        <v>9767</v>
      </c>
      <c r="Z339" s="276">
        <v>71153</v>
      </c>
      <c r="AA339" s="285">
        <v>5601</v>
      </c>
      <c r="AB339" s="295">
        <v>79747.506285101277</v>
      </c>
    </row>
    <row r="340" spans="1:28" ht="13.5" customHeight="1">
      <c r="A340" s="18">
        <v>24</v>
      </c>
      <c r="B340" s="19" t="s">
        <v>29</v>
      </c>
      <c r="C340" s="274">
        <v>41</v>
      </c>
      <c r="D340" s="275">
        <v>1</v>
      </c>
      <c r="E340" s="275">
        <v>89</v>
      </c>
      <c r="F340" s="275">
        <v>11</v>
      </c>
      <c r="G340" s="275">
        <v>340</v>
      </c>
      <c r="H340" s="275">
        <v>974</v>
      </c>
      <c r="I340" s="275">
        <v>4083</v>
      </c>
      <c r="J340" s="275">
        <v>2588</v>
      </c>
      <c r="K340" s="275">
        <v>1339</v>
      </c>
      <c r="L340" s="275">
        <v>3872</v>
      </c>
      <c r="M340" s="275">
        <v>121</v>
      </c>
      <c r="N340" s="275">
        <v>615</v>
      </c>
      <c r="O340" s="275">
        <v>6105</v>
      </c>
      <c r="P340" s="275">
        <v>1452</v>
      </c>
      <c r="Q340" s="275">
        <v>1647</v>
      </c>
      <c r="R340" s="275">
        <v>3711</v>
      </c>
      <c r="S340" s="275">
        <v>7452</v>
      </c>
      <c r="T340" s="275">
        <v>2786</v>
      </c>
      <c r="U340" s="275">
        <v>37227</v>
      </c>
      <c r="V340" s="276">
        <v>-206</v>
      </c>
      <c r="W340" s="277">
        <v>37021</v>
      </c>
      <c r="X340" s="275">
        <v>131</v>
      </c>
      <c r="Y340" s="275">
        <v>4434</v>
      </c>
      <c r="Z340" s="276">
        <v>32662</v>
      </c>
      <c r="AA340" s="285">
        <v>4696</v>
      </c>
      <c r="AB340" s="295">
        <v>36510.498169757499</v>
      </c>
    </row>
    <row r="341" spans="1:28" ht="13.5" customHeight="1">
      <c r="A341" s="18">
        <v>25</v>
      </c>
      <c r="B341" s="19" t="s">
        <v>30</v>
      </c>
      <c r="C341" s="274">
        <v>231</v>
      </c>
      <c r="D341" s="275">
        <v>0</v>
      </c>
      <c r="E341" s="275">
        <v>17</v>
      </c>
      <c r="F341" s="275">
        <v>232</v>
      </c>
      <c r="G341" s="275">
        <v>5728</v>
      </c>
      <c r="H341" s="275">
        <v>13729</v>
      </c>
      <c r="I341" s="275">
        <v>5548</v>
      </c>
      <c r="J341" s="275">
        <v>3423</v>
      </c>
      <c r="K341" s="275">
        <v>1398</v>
      </c>
      <c r="L341" s="275">
        <v>834</v>
      </c>
      <c r="M341" s="275">
        <v>879</v>
      </c>
      <c r="N341" s="275">
        <v>401</v>
      </c>
      <c r="O341" s="275">
        <v>6855</v>
      </c>
      <c r="P341" s="275">
        <v>1890</v>
      </c>
      <c r="Q341" s="275">
        <v>1601</v>
      </c>
      <c r="R341" s="275">
        <v>1687</v>
      </c>
      <c r="S341" s="275">
        <v>9699</v>
      </c>
      <c r="T341" s="275">
        <v>3736</v>
      </c>
      <c r="U341" s="275">
        <v>57888</v>
      </c>
      <c r="V341" s="276">
        <v>-321</v>
      </c>
      <c r="W341" s="277">
        <v>57567</v>
      </c>
      <c r="X341" s="275">
        <v>248</v>
      </c>
      <c r="Y341" s="275">
        <v>11508</v>
      </c>
      <c r="Z341" s="276">
        <v>46132</v>
      </c>
      <c r="AA341" s="285">
        <v>6673</v>
      </c>
      <c r="AB341" s="295">
        <v>57418.933352190579</v>
      </c>
    </row>
    <row r="342" spans="1:28" ht="13.5" customHeight="1">
      <c r="A342" s="20">
        <v>26</v>
      </c>
      <c r="B342" s="21" t="s">
        <v>31</v>
      </c>
      <c r="C342" s="278">
        <v>223</v>
      </c>
      <c r="D342" s="279">
        <v>2</v>
      </c>
      <c r="E342" s="279">
        <v>120</v>
      </c>
      <c r="F342" s="279">
        <v>21</v>
      </c>
      <c r="G342" s="279">
        <v>19792</v>
      </c>
      <c r="H342" s="279">
        <v>5115</v>
      </c>
      <c r="I342" s="279">
        <v>7534</v>
      </c>
      <c r="J342" s="279">
        <v>14214</v>
      </c>
      <c r="K342" s="279">
        <v>6226</v>
      </c>
      <c r="L342" s="279">
        <v>1955</v>
      </c>
      <c r="M342" s="279">
        <v>441</v>
      </c>
      <c r="N342" s="279">
        <v>1601</v>
      </c>
      <c r="O342" s="279">
        <v>9343</v>
      </c>
      <c r="P342" s="279">
        <v>4038</v>
      </c>
      <c r="Q342" s="279">
        <v>2655</v>
      </c>
      <c r="R342" s="279">
        <v>21283</v>
      </c>
      <c r="S342" s="279">
        <v>16857</v>
      </c>
      <c r="T342" s="279">
        <v>5115</v>
      </c>
      <c r="U342" s="279">
        <v>116535</v>
      </c>
      <c r="V342" s="280">
        <v>-646</v>
      </c>
      <c r="W342" s="281">
        <v>115889</v>
      </c>
      <c r="X342" s="279">
        <v>345</v>
      </c>
      <c r="Y342" s="279">
        <v>27347</v>
      </c>
      <c r="Z342" s="280">
        <v>88843</v>
      </c>
      <c r="AA342" s="286">
        <v>5323</v>
      </c>
      <c r="AB342" s="296">
        <v>114844.18499943834</v>
      </c>
    </row>
    <row r="343" spans="1:28" ht="13.5" customHeight="1">
      <c r="A343" s="18">
        <v>27</v>
      </c>
      <c r="B343" s="19" t="s">
        <v>32</v>
      </c>
      <c r="C343" s="270">
        <v>163</v>
      </c>
      <c r="D343" s="271">
        <v>0</v>
      </c>
      <c r="E343" s="271">
        <v>217</v>
      </c>
      <c r="F343" s="271">
        <v>11</v>
      </c>
      <c r="G343" s="271">
        <v>852</v>
      </c>
      <c r="H343" s="271">
        <v>859</v>
      </c>
      <c r="I343" s="271">
        <v>4540</v>
      </c>
      <c r="J343" s="271">
        <v>4827</v>
      </c>
      <c r="K343" s="271">
        <v>741</v>
      </c>
      <c r="L343" s="271">
        <v>1601</v>
      </c>
      <c r="M343" s="271">
        <v>143</v>
      </c>
      <c r="N343" s="271">
        <v>1107</v>
      </c>
      <c r="O343" s="271">
        <v>6653</v>
      </c>
      <c r="P343" s="271">
        <v>1099</v>
      </c>
      <c r="Q343" s="271">
        <v>2997</v>
      </c>
      <c r="R343" s="271">
        <v>3537</v>
      </c>
      <c r="S343" s="271">
        <v>6063</v>
      </c>
      <c r="T343" s="271">
        <v>2250</v>
      </c>
      <c r="U343" s="271">
        <v>37660</v>
      </c>
      <c r="V343" s="272">
        <v>-209</v>
      </c>
      <c r="W343" s="273">
        <v>37451</v>
      </c>
      <c r="X343" s="271">
        <v>380</v>
      </c>
      <c r="Y343" s="271">
        <v>5403</v>
      </c>
      <c r="Z343" s="272">
        <v>31877</v>
      </c>
      <c r="AA343" s="284">
        <v>5329</v>
      </c>
      <c r="AB343" s="294">
        <v>36986.126687960983</v>
      </c>
    </row>
    <row r="344" spans="1:28" ht="13.5" customHeight="1">
      <c r="A344" s="18">
        <v>28</v>
      </c>
      <c r="B344" s="19" t="s">
        <v>33</v>
      </c>
      <c r="C344" s="274">
        <v>973</v>
      </c>
      <c r="D344" s="275">
        <v>5</v>
      </c>
      <c r="E344" s="275">
        <v>0</v>
      </c>
      <c r="F344" s="275">
        <v>47</v>
      </c>
      <c r="G344" s="275">
        <v>4562</v>
      </c>
      <c r="H344" s="275">
        <v>2749</v>
      </c>
      <c r="I344" s="275">
        <v>10586</v>
      </c>
      <c r="J344" s="275">
        <v>13051</v>
      </c>
      <c r="K344" s="275">
        <v>3425</v>
      </c>
      <c r="L344" s="275">
        <v>3163</v>
      </c>
      <c r="M344" s="275">
        <v>402</v>
      </c>
      <c r="N344" s="275">
        <v>1730</v>
      </c>
      <c r="O344" s="275">
        <v>11816</v>
      </c>
      <c r="P344" s="275">
        <v>4230</v>
      </c>
      <c r="Q344" s="275">
        <v>2952</v>
      </c>
      <c r="R344" s="275">
        <v>5282</v>
      </c>
      <c r="S344" s="275">
        <v>25105</v>
      </c>
      <c r="T344" s="275">
        <v>6592</v>
      </c>
      <c r="U344" s="275">
        <v>96670</v>
      </c>
      <c r="V344" s="276">
        <v>-536</v>
      </c>
      <c r="W344" s="277">
        <v>96134</v>
      </c>
      <c r="X344" s="275">
        <v>978</v>
      </c>
      <c r="Y344" s="275">
        <v>15195</v>
      </c>
      <c r="Z344" s="276">
        <v>80497</v>
      </c>
      <c r="AA344" s="285">
        <v>5130</v>
      </c>
      <c r="AB344" s="295">
        <v>94973.381981557352</v>
      </c>
    </row>
    <row r="345" spans="1:28" ht="13.5" customHeight="1">
      <c r="A345" s="18">
        <v>29</v>
      </c>
      <c r="B345" s="19" t="s">
        <v>34</v>
      </c>
      <c r="C345" s="274">
        <v>4</v>
      </c>
      <c r="D345" s="275">
        <v>4</v>
      </c>
      <c r="E345" s="275">
        <v>21</v>
      </c>
      <c r="F345" s="275">
        <v>0</v>
      </c>
      <c r="G345" s="275">
        <v>14</v>
      </c>
      <c r="H345" s="275">
        <v>122</v>
      </c>
      <c r="I345" s="275">
        <v>459</v>
      </c>
      <c r="J345" s="275">
        <v>29</v>
      </c>
      <c r="K345" s="275">
        <v>192</v>
      </c>
      <c r="L345" s="275">
        <v>515</v>
      </c>
      <c r="M345" s="275">
        <v>1</v>
      </c>
      <c r="N345" s="275">
        <v>4</v>
      </c>
      <c r="O345" s="275">
        <v>100</v>
      </c>
      <c r="P345" s="275">
        <v>107</v>
      </c>
      <c r="Q345" s="275">
        <v>450</v>
      </c>
      <c r="R345" s="275">
        <v>337</v>
      </c>
      <c r="S345" s="275">
        <v>170</v>
      </c>
      <c r="T345" s="275">
        <v>533</v>
      </c>
      <c r="U345" s="275">
        <v>3062</v>
      </c>
      <c r="V345" s="276">
        <v>-17</v>
      </c>
      <c r="W345" s="277">
        <v>3045</v>
      </c>
      <c r="X345" s="275">
        <v>29</v>
      </c>
      <c r="Y345" s="275">
        <v>473</v>
      </c>
      <c r="Z345" s="276">
        <v>2560</v>
      </c>
      <c r="AA345" s="285">
        <v>5223</v>
      </c>
      <c r="AB345" s="295">
        <v>2988.3038324564645</v>
      </c>
    </row>
    <row r="346" spans="1:28" ht="13.5" customHeight="1">
      <c r="A346" s="18">
        <v>30</v>
      </c>
      <c r="B346" s="19" t="s">
        <v>35</v>
      </c>
      <c r="C346" s="274">
        <v>2</v>
      </c>
      <c r="D346" s="275">
        <v>0</v>
      </c>
      <c r="E346" s="275">
        <v>36</v>
      </c>
      <c r="F346" s="275">
        <v>0</v>
      </c>
      <c r="G346" s="275">
        <v>15</v>
      </c>
      <c r="H346" s="275">
        <v>201</v>
      </c>
      <c r="I346" s="275">
        <v>523</v>
      </c>
      <c r="J346" s="275">
        <v>99</v>
      </c>
      <c r="K346" s="275">
        <v>198</v>
      </c>
      <c r="L346" s="275">
        <v>870</v>
      </c>
      <c r="M346" s="275">
        <v>0</v>
      </c>
      <c r="N346" s="275">
        <v>7</v>
      </c>
      <c r="O346" s="275">
        <v>192</v>
      </c>
      <c r="P346" s="275">
        <v>169</v>
      </c>
      <c r="Q346" s="275">
        <v>419</v>
      </c>
      <c r="R346" s="275">
        <v>530</v>
      </c>
      <c r="S346" s="275">
        <v>190</v>
      </c>
      <c r="T346" s="275">
        <v>785</v>
      </c>
      <c r="U346" s="275">
        <v>4236</v>
      </c>
      <c r="V346" s="276">
        <v>-23</v>
      </c>
      <c r="W346" s="277">
        <v>4213</v>
      </c>
      <c r="X346" s="275">
        <v>38</v>
      </c>
      <c r="Y346" s="275">
        <v>538</v>
      </c>
      <c r="Z346" s="276">
        <v>3660</v>
      </c>
      <c r="AA346" s="285">
        <v>5732</v>
      </c>
      <c r="AB346" s="295">
        <v>4123.6261366035724</v>
      </c>
    </row>
    <row r="347" spans="1:28" ht="13.5" customHeight="1">
      <c r="A347" s="18">
        <v>31</v>
      </c>
      <c r="B347" s="19" t="s">
        <v>36</v>
      </c>
      <c r="C347" s="274">
        <v>73</v>
      </c>
      <c r="D347" s="275">
        <v>0</v>
      </c>
      <c r="E347" s="275">
        <v>12</v>
      </c>
      <c r="F347" s="275">
        <v>16</v>
      </c>
      <c r="G347" s="275">
        <v>173</v>
      </c>
      <c r="H347" s="275">
        <v>87</v>
      </c>
      <c r="I347" s="275">
        <v>398</v>
      </c>
      <c r="J347" s="275">
        <v>26</v>
      </c>
      <c r="K347" s="275">
        <v>143</v>
      </c>
      <c r="L347" s="275">
        <v>105</v>
      </c>
      <c r="M347" s="275">
        <v>0</v>
      </c>
      <c r="N347" s="275">
        <v>4</v>
      </c>
      <c r="O347" s="275">
        <v>189</v>
      </c>
      <c r="P347" s="275">
        <v>0</v>
      </c>
      <c r="Q347" s="275">
        <v>438</v>
      </c>
      <c r="R347" s="275">
        <v>258</v>
      </c>
      <c r="S347" s="275">
        <v>402</v>
      </c>
      <c r="T347" s="275">
        <v>93</v>
      </c>
      <c r="U347" s="275">
        <v>2417</v>
      </c>
      <c r="V347" s="276">
        <v>-14</v>
      </c>
      <c r="W347" s="277">
        <v>2403</v>
      </c>
      <c r="X347" s="275">
        <v>85</v>
      </c>
      <c r="Y347" s="275">
        <v>587</v>
      </c>
      <c r="Z347" s="276">
        <v>1745</v>
      </c>
      <c r="AA347" s="285">
        <v>5270</v>
      </c>
      <c r="AB347" s="295">
        <v>2363.9620367060284</v>
      </c>
    </row>
    <row r="348" spans="1:28" ht="13.5" customHeight="1">
      <c r="A348" s="18">
        <v>32</v>
      </c>
      <c r="B348" s="19" t="s">
        <v>37</v>
      </c>
      <c r="C348" s="274">
        <v>1</v>
      </c>
      <c r="D348" s="275">
        <v>0</v>
      </c>
      <c r="E348" s="275">
        <v>90</v>
      </c>
      <c r="F348" s="275">
        <v>0</v>
      </c>
      <c r="G348" s="275">
        <v>1</v>
      </c>
      <c r="H348" s="275">
        <v>26</v>
      </c>
      <c r="I348" s="275">
        <v>779</v>
      </c>
      <c r="J348" s="275">
        <v>17</v>
      </c>
      <c r="K348" s="275">
        <v>36</v>
      </c>
      <c r="L348" s="275">
        <v>49</v>
      </c>
      <c r="M348" s="275">
        <v>0</v>
      </c>
      <c r="N348" s="275">
        <v>6</v>
      </c>
      <c r="O348" s="275">
        <v>58</v>
      </c>
      <c r="P348" s="275">
        <v>0</v>
      </c>
      <c r="Q348" s="275">
        <v>274</v>
      </c>
      <c r="R348" s="275">
        <v>191</v>
      </c>
      <c r="S348" s="275">
        <v>130</v>
      </c>
      <c r="T348" s="275">
        <v>16</v>
      </c>
      <c r="U348" s="275">
        <v>1674</v>
      </c>
      <c r="V348" s="276">
        <v>-9</v>
      </c>
      <c r="W348" s="277">
        <v>1665</v>
      </c>
      <c r="X348" s="275">
        <v>91</v>
      </c>
      <c r="Y348" s="275">
        <v>780</v>
      </c>
      <c r="Z348" s="276">
        <v>803</v>
      </c>
      <c r="AA348" s="285">
        <v>5303</v>
      </c>
      <c r="AB348" s="295">
        <v>1616.692252729938</v>
      </c>
    </row>
    <row r="349" spans="1:28" ht="13.5" customHeight="1">
      <c r="A349" s="18">
        <v>33</v>
      </c>
      <c r="B349" s="19" t="s">
        <v>38</v>
      </c>
      <c r="C349" s="274">
        <v>829</v>
      </c>
      <c r="D349" s="275">
        <v>2</v>
      </c>
      <c r="E349" s="275">
        <v>42</v>
      </c>
      <c r="F349" s="275">
        <v>105</v>
      </c>
      <c r="G349" s="275">
        <v>914</v>
      </c>
      <c r="H349" s="275">
        <v>203</v>
      </c>
      <c r="I349" s="275">
        <v>1728</v>
      </c>
      <c r="J349" s="275">
        <v>236</v>
      </c>
      <c r="K349" s="275">
        <v>95</v>
      </c>
      <c r="L349" s="275">
        <v>171</v>
      </c>
      <c r="M349" s="275">
        <v>0</v>
      </c>
      <c r="N349" s="275">
        <v>4</v>
      </c>
      <c r="O349" s="275">
        <v>105</v>
      </c>
      <c r="P349" s="275">
        <v>30</v>
      </c>
      <c r="Q349" s="275">
        <v>746</v>
      </c>
      <c r="R349" s="275">
        <v>324</v>
      </c>
      <c r="S349" s="275">
        <v>181</v>
      </c>
      <c r="T349" s="275">
        <v>140</v>
      </c>
      <c r="U349" s="275">
        <v>5855</v>
      </c>
      <c r="V349" s="276">
        <v>-32</v>
      </c>
      <c r="W349" s="277">
        <v>5823</v>
      </c>
      <c r="X349" s="275">
        <v>873</v>
      </c>
      <c r="Y349" s="275">
        <v>2747</v>
      </c>
      <c r="Z349" s="276">
        <v>2235</v>
      </c>
      <c r="AA349" s="285">
        <v>5218</v>
      </c>
      <c r="AB349" s="295">
        <v>5612.8524859751278</v>
      </c>
    </row>
    <row r="350" spans="1:28" ht="13.5" customHeight="1">
      <c r="A350" s="18">
        <v>34</v>
      </c>
      <c r="B350" s="19" t="s">
        <v>39</v>
      </c>
      <c r="C350" s="274">
        <v>310</v>
      </c>
      <c r="D350" s="275">
        <v>0</v>
      </c>
      <c r="E350" s="275">
        <v>14</v>
      </c>
      <c r="F350" s="275">
        <v>0</v>
      </c>
      <c r="G350" s="275">
        <v>412</v>
      </c>
      <c r="H350" s="275">
        <v>88</v>
      </c>
      <c r="I350" s="275">
        <v>1692</v>
      </c>
      <c r="J350" s="275">
        <v>59</v>
      </c>
      <c r="K350" s="275">
        <v>110</v>
      </c>
      <c r="L350" s="275">
        <v>189</v>
      </c>
      <c r="M350" s="275">
        <v>0</v>
      </c>
      <c r="N350" s="275">
        <v>11</v>
      </c>
      <c r="O350" s="275">
        <v>32</v>
      </c>
      <c r="P350" s="275">
        <v>18</v>
      </c>
      <c r="Q350" s="275">
        <v>403</v>
      </c>
      <c r="R350" s="275">
        <v>238</v>
      </c>
      <c r="S350" s="275">
        <v>155</v>
      </c>
      <c r="T350" s="275">
        <v>59</v>
      </c>
      <c r="U350" s="275">
        <v>3790</v>
      </c>
      <c r="V350" s="276">
        <v>-21</v>
      </c>
      <c r="W350" s="277">
        <v>3769</v>
      </c>
      <c r="X350" s="275">
        <v>324</v>
      </c>
      <c r="Y350" s="275">
        <v>2104</v>
      </c>
      <c r="Z350" s="276">
        <v>1362</v>
      </c>
      <c r="AA350" s="285">
        <v>6636</v>
      </c>
      <c r="AB350" s="295">
        <v>3672.9916224318872</v>
      </c>
    </row>
    <row r="351" spans="1:28" ht="13.5" customHeight="1">
      <c r="A351" s="18">
        <v>35</v>
      </c>
      <c r="B351" s="19" t="s">
        <v>40</v>
      </c>
      <c r="C351" s="274">
        <v>149</v>
      </c>
      <c r="D351" s="275">
        <v>3</v>
      </c>
      <c r="E351" s="275">
        <v>105</v>
      </c>
      <c r="F351" s="275">
        <v>11</v>
      </c>
      <c r="G351" s="275">
        <v>359</v>
      </c>
      <c r="H351" s="275">
        <v>91</v>
      </c>
      <c r="I351" s="275">
        <v>1694</v>
      </c>
      <c r="J351" s="275">
        <v>222</v>
      </c>
      <c r="K351" s="275">
        <v>239</v>
      </c>
      <c r="L351" s="275">
        <v>127</v>
      </c>
      <c r="M351" s="275">
        <v>0</v>
      </c>
      <c r="N351" s="275">
        <v>14</v>
      </c>
      <c r="O351" s="275">
        <v>140</v>
      </c>
      <c r="P351" s="275">
        <v>94</v>
      </c>
      <c r="Q351" s="275">
        <v>683</v>
      </c>
      <c r="R351" s="275">
        <v>485</v>
      </c>
      <c r="S351" s="275">
        <v>223</v>
      </c>
      <c r="T351" s="275">
        <v>136</v>
      </c>
      <c r="U351" s="275">
        <v>4775</v>
      </c>
      <c r="V351" s="276">
        <v>-27</v>
      </c>
      <c r="W351" s="277">
        <v>4748</v>
      </c>
      <c r="X351" s="275">
        <v>257</v>
      </c>
      <c r="Y351" s="275">
        <v>2064</v>
      </c>
      <c r="Z351" s="276">
        <v>2454</v>
      </c>
      <c r="AA351" s="285">
        <v>5855</v>
      </c>
      <c r="AB351" s="295">
        <v>4629.7976041016382</v>
      </c>
    </row>
    <row r="352" spans="1:28" ht="13.5" customHeight="1">
      <c r="A352" s="18">
        <v>36</v>
      </c>
      <c r="B352" s="19" t="s">
        <v>41</v>
      </c>
      <c r="C352" s="274">
        <v>366</v>
      </c>
      <c r="D352" s="275">
        <v>0</v>
      </c>
      <c r="E352" s="275">
        <v>157</v>
      </c>
      <c r="F352" s="275">
        <v>0</v>
      </c>
      <c r="G352" s="275">
        <v>110</v>
      </c>
      <c r="H352" s="275">
        <v>51</v>
      </c>
      <c r="I352" s="275">
        <v>765</v>
      </c>
      <c r="J352" s="275">
        <v>168</v>
      </c>
      <c r="K352" s="275">
        <v>410</v>
      </c>
      <c r="L352" s="275">
        <v>202</v>
      </c>
      <c r="M352" s="275">
        <v>0</v>
      </c>
      <c r="N352" s="275">
        <v>6</v>
      </c>
      <c r="O352" s="275">
        <v>251</v>
      </c>
      <c r="P352" s="275">
        <v>42</v>
      </c>
      <c r="Q352" s="275">
        <v>677</v>
      </c>
      <c r="R352" s="275">
        <v>341</v>
      </c>
      <c r="S352" s="275">
        <v>375</v>
      </c>
      <c r="T352" s="275">
        <v>140</v>
      </c>
      <c r="U352" s="275">
        <v>4061</v>
      </c>
      <c r="V352" s="276">
        <v>-23</v>
      </c>
      <c r="W352" s="277">
        <v>4038</v>
      </c>
      <c r="X352" s="275">
        <v>523</v>
      </c>
      <c r="Y352" s="275">
        <v>875</v>
      </c>
      <c r="Z352" s="276">
        <v>2663</v>
      </c>
      <c r="AA352" s="285">
        <v>4237</v>
      </c>
      <c r="AB352" s="295">
        <v>3884.8839962179445</v>
      </c>
    </row>
    <row r="353" spans="1:28" ht="13.5" customHeight="1">
      <c r="A353" s="18">
        <v>37</v>
      </c>
      <c r="B353" s="19" t="s">
        <v>49</v>
      </c>
      <c r="C353" s="274">
        <v>1451</v>
      </c>
      <c r="D353" s="275">
        <v>0</v>
      </c>
      <c r="E353" s="275">
        <v>695</v>
      </c>
      <c r="F353" s="275">
        <v>37</v>
      </c>
      <c r="G353" s="275">
        <v>2569</v>
      </c>
      <c r="H353" s="275">
        <v>1179</v>
      </c>
      <c r="I353" s="275">
        <v>2306</v>
      </c>
      <c r="J353" s="275">
        <v>1283</v>
      </c>
      <c r="K353" s="275">
        <v>949</v>
      </c>
      <c r="L353" s="275">
        <v>1254</v>
      </c>
      <c r="M353" s="275">
        <v>0</v>
      </c>
      <c r="N353" s="275">
        <v>203</v>
      </c>
      <c r="O353" s="275">
        <v>1959</v>
      </c>
      <c r="P353" s="275">
        <v>856</v>
      </c>
      <c r="Q353" s="275">
        <v>4008</v>
      </c>
      <c r="R353" s="275">
        <v>1685</v>
      </c>
      <c r="S353" s="275">
        <v>1943</v>
      </c>
      <c r="T353" s="275">
        <v>1145</v>
      </c>
      <c r="U353" s="275">
        <v>23522</v>
      </c>
      <c r="V353" s="276">
        <v>-130</v>
      </c>
      <c r="W353" s="277">
        <v>23392</v>
      </c>
      <c r="X353" s="275">
        <v>2146</v>
      </c>
      <c r="Y353" s="275">
        <v>4912</v>
      </c>
      <c r="Z353" s="276">
        <v>16464</v>
      </c>
      <c r="AA353" s="285">
        <v>4869</v>
      </c>
      <c r="AB353" s="295">
        <v>22756.144885397953</v>
      </c>
    </row>
    <row r="354" spans="1:28" ht="13.5" customHeight="1">
      <c r="A354" s="20">
        <v>38</v>
      </c>
      <c r="B354" s="21" t="s">
        <v>50</v>
      </c>
      <c r="C354" s="278">
        <v>3197</v>
      </c>
      <c r="D354" s="279">
        <v>0</v>
      </c>
      <c r="E354" s="279">
        <v>195</v>
      </c>
      <c r="F354" s="279">
        <v>79</v>
      </c>
      <c r="G354" s="279">
        <v>1740</v>
      </c>
      <c r="H354" s="279">
        <v>1707</v>
      </c>
      <c r="I354" s="279">
        <v>7138</v>
      </c>
      <c r="J354" s="279">
        <v>3391</v>
      </c>
      <c r="K354" s="279">
        <v>1563</v>
      </c>
      <c r="L354" s="279">
        <v>976</v>
      </c>
      <c r="M354" s="279">
        <v>255</v>
      </c>
      <c r="N354" s="279">
        <v>534</v>
      </c>
      <c r="O354" s="279">
        <v>8311</v>
      </c>
      <c r="P354" s="279">
        <v>2232</v>
      </c>
      <c r="Q354" s="279">
        <v>6409</v>
      </c>
      <c r="R354" s="279">
        <v>5811</v>
      </c>
      <c r="S354" s="279">
        <v>10959</v>
      </c>
      <c r="T354" s="279">
        <v>2740</v>
      </c>
      <c r="U354" s="279">
        <v>57237</v>
      </c>
      <c r="V354" s="280">
        <v>-317</v>
      </c>
      <c r="W354" s="281">
        <v>56920</v>
      </c>
      <c r="X354" s="279">
        <v>3392</v>
      </c>
      <c r="Y354" s="279">
        <v>8957</v>
      </c>
      <c r="Z354" s="280">
        <v>44888</v>
      </c>
      <c r="AA354" s="286">
        <v>5217</v>
      </c>
      <c r="AB354" s="296">
        <v>55901.290848458644</v>
      </c>
    </row>
    <row r="355" spans="1:28" ht="13.5" customHeight="1">
      <c r="A355" s="20">
        <v>39</v>
      </c>
      <c r="B355" s="21" t="s">
        <v>42</v>
      </c>
      <c r="C355" s="266">
        <v>848</v>
      </c>
      <c r="D355" s="267">
        <v>0</v>
      </c>
      <c r="E355" s="267">
        <v>1</v>
      </c>
      <c r="F355" s="267">
        <v>0</v>
      </c>
      <c r="G355" s="267">
        <v>751</v>
      </c>
      <c r="H355" s="267">
        <v>109</v>
      </c>
      <c r="I355" s="267">
        <v>950</v>
      </c>
      <c r="J355" s="267">
        <v>121</v>
      </c>
      <c r="K355" s="267">
        <v>179</v>
      </c>
      <c r="L355" s="267">
        <v>101</v>
      </c>
      <c r="M355" s="267">
        <v>0</v>
      </c>
      <c r="N355" s="267">
        <v>12</v>
      </c>
      <c r="O355" s="267">
        <v>212</v>
      </c>
      <c r="P355" s="267">
        <v>50</v>
      </c>
      <c r="Q355" s="267">
        <v>599</v>
      </c>
      <c r="R355" s="267">
        <v>321</v>
      </c>
      <c r="S355" s="267">
        <v>155</v>
      </c>
      <c r="T355" s="267">
        <v>111</v>
      </c>
      <c r="U355" s="267">
        <v>4520</v>
      </c>
      <c r="V355" s="268">
        <v>-25</v>
      </c>
      <c r="W355" s="269">
        <v>4495</v>
      </c>
      <c r="X355" s="267">
        <v>849</v>
      </c>
      <c r="Y355" s="267">
        <v>1701</v>
      </c>
      <c r="Z355" s="268">
        <v>1970</v>
      </c>
      <c r="AA355" s="283">
        <v>5860</v>
      </c>
      <c r="AB355" s="293">
        <v>4383.3509917092342</v>
      </c>
    </row>
    <row r="356" spans="1:28" ht="13.5" customHeight="1">
      <c r="A356" s="18">
        <v>40</v>
      </c>
      <c r="B356" s="19" t="s">
        <v>43</v>
      </c>
      <c r="C356" s="270">
        <v>1406</v>
      </c>
      <c r="D356" s="271">
        <v>8</v>
      </c>
      <c r="E356" s="271">
        <v>127</v>
      </c>
      <c r="F356" s="271">
        <v>0</v>
      </c>
      <c r="G356" s="271">
        <v>1173</v>
      </c>
      <c r="H356" s="271">
        <v>331</v>
      </c>
      <c r="I356" s="271">
        <v>2992</v>
      </c>
      <c r="J356" s="271">
        <v>379</v>
      </c>
      <c r="K356" s="271">
        <v>1333</v>
      </c>
      <c r="L356" s="271">
        <v>3139</v>
      </c>
      <c r="M356" s="271">
        <v>0</v>
      </c>
      <c r="N356" s="271">
        <v>20</v>
      </c>
      <c r="O356" s="271">
        <v>1022</v>
      </c>
      <c r="P356" s="271">
        <v>862</v>
      </c>
      <c r="Q356" s="271">
        <v>579</v>
      </c>
      <c r="R356" s="271">
        <v>1979</v>
      </c>
      <c r="S356" s="271">
        <v>451</v>
      </c>
      <c r="T356" s="271">
        <v>2019</v>
      </c>
      <c r="U356" s="271">
        <v>17820</v>
      </c>
      <c r="V356" s="272">
        <v>-99</v>
      </c>
      <c r="W356" s="273">
        <v>17721</v>
      </c>
      <c r="X356" s="271">
        <v>1541</v>
      </c>
      <c r="Y356" s="271">
        <v>4165</v>
      </c>
      <c r="Z356" s="272">
        <v>12114</v>
      </c>
      <c r="AA356" s="284">
        <v>5769</v>
      </c>
      <c r="AB356" s="294">
        <v>17193.119059840512</v>
      </c>
    </row>
    <row r="357" spans="1:28" ht="13.5" customHeight="1">
      <c r="A357" s="20">
        <v>41</v>
      </c>
      <c r="B357" s="21" t="s">
        <v>44</v>
      </c>
      <c r="C357" s="278">
        <v>219</v>
      </c>
      <c r="D357" s="279">
        <v>0</v>
      </c>
      <c r="E357" s="279">
        <v>65</v>
      </c>
      <c r="F357" s="279">
        <v>68</v>
      </c>
      <c r="G357" s="279">
        <v>479</v>
      </c>
      <c r="H357" s="279">
        <v>267</v>
      </c>
      <c r="I357" s="279">
        <v>2063</v>
      </c>
      <c r="J357" s="279">
        <v>183</v>
      </c>
      <c r="K357" s="279">
        <v>358</v>
      </c>
      <c r="L357" s="279">
        <v>484</v>
      </c>
      <c r="M357" s="279">
        <v>0</v>
      </c>
      <c r="N357" s="279">
        <v>7</v>
      </c>
      <c r="O357" s="279">
        <v>316</v>
      </c>
      <c r="P357" s="279">
        <v>176</v>
      </c>
      <c r="Q357" s="279">
        <v>2802</v>
      </c>
      <c r="R357" s="279">
        <v>610</v>
      </c>
      <c r="S357" s="279">
        <v>398</v>
      </c>
      <c r="T357" s="279">
        <v>226</v>
      </c>
      <c r="U357" s="279">
        <v>8721</v>
      </c>
      <c r="V357" s="280">
        <v>-48</v>
      </c>
      <c r="W357" s="281">
        <v>8673</v>
      </c>
      <c r="X357" s="279">
        <v>284</v>
      </c>
      <c r="Y357" s="279">
        <v>2610</v>
      </c>
      <c r="Z357" s="280">
        <v>5827</v>
      </c>
      <c r="AA357" s="286">
        <v>5407</v>
      </c>
      <c r="AB357" s="296">
        <v>8527.1901617164003</v>
      </c>
    </row>
    <row r="358" spans="1:28" ht="15.75" customHeight="1">
      <c r="A358" s="123" t="s">
        <v>146</v>
      </c>
      <c r="B358" s="7" t="s">
        <v>152</v>
      </c>
      <c r="C358" s="270">
        <v>15575</v>
      </c>
      <c r="D358" s="271">
        <v>190</v>
      </c>
      <c r="E358" s="271">
        <v>2313</v>
      </c>
      <c r="F358" s="271">
        <v>2890</v>
      </c>
      <c r="G358" s="271">
        <v>21843</v>
      </c>
      <c r="H358" s="271">
        <v>21782</v>
      </c>
      <c r="I358" s="271">
        <v>65893</v>
      </c>
      <c r="J358" s="271">
        <v>23894</v>
      </c>
      <c r="K358" s="271">
        <v>15666</v>
      </c>
      <c r="L358" s="271">
        <v>33831</v>
      </c>
      <c r="M358" s="271">
        <v>3984</v>
      </c>
      <c r="N358" s="271">
        <v>5734</v>
      </c>
      <c r="O358" s="271">
        <v>39103</v>
      </c>
      <c r="P358" s="271">
        <v>23058</v>
      </c>
      <c r="Q358" s="271">
        <v>29591</v>
      </c>
      <c r="R358" s="271">
        <v>32827</v>
      </c>
      <c r="S358" s="271">
        <v>50762</v>
      </c>
      <c r="T358" s="271">
        <v>25054</v>
      </c>
      <c r="U358" s="271">
        <v>413990</v>
      </c>
      <c r="V358" s="272">
        <v>-2295</v>
      </c>
      <c r="W358" s="273">
        <v>411695</v>
      </c>
      <c r="X358" s="271">
        <v>18078</v>
      </c>
      <c r="Y358" s="271">
        <v>90626</v>
      </c>
      <c r="Z358" s="272">
        <v>305286</v>
      </c>
      <c r="AA358" s="284">
        <v>5352</v>
      </c>
      <c r="AB358" s="294">
        <v>404277.16800670995</v>
      </c>
    </row>
    <row r="359" spans="1:28" ht="15.75" customHeight="1">
      <c r="A359" s="124" t="s">
        <v>147</v>
      </c>
      <c r="B359" s="17" t="s">
        <v>153</v>
      </c>
      <c r="C359" s="274">
        <v>5534</v>
      </c>
      <c r="D359" s="275">
        <v>12</v>
      </c>
      <c r="E359" s="275">
        <v>2026</v>
      </c>
      <c r="F359" s="275">
        <v>1701</v>
      </c>
      <c r="G359" s="275">
        <v>94241</v>
      </c>
      <c r="H359" s="275">
        <v>86494</v>
      </c>
      <c r="I359" s="275">
        <v>157777</v>
      </c>
      <c r="J359" s="275">
        <v>188464</v>
      </c>
      <c r="K359" s="275">
        <v>60177</v>
      </c>
      <c r="L359" s="275">
        <v>58666</v>
      </c>
      <c r="M359" s="275">
        <v>76238</v>
      </c>
      <c r="N359" s="275">
        <v>37411</v>
      </c>
      <c r="O359" s="275">
        <v>218354</v>
      </c>
      <c r="P359" s="275">
        <v>153496</v>
      </c>
      <c r="Q359" s="275">
        <v>93075</v>
      </c>
      <c r="R359" s="275">
        <v>102120</v>
      </c>
      <c r="S359" s="275">
        <v>198689</v>
      </c>
      <c r="T359" s="275">
        <v>94316</v>
      </c>
      <c r="U359" s="275">
        <v>1628791</v>
      </c>
      <c r="V359" s="276">
        <v>-9023</v>
      </c>
      <c r="W359" s="277">
        <v>1619768</v>
      </c>
      <c r="X359" s="275">
        <v>7572</v>
      </c>
      <c r="Y359" s="275">
        <v>253719</v>
      </c>
      <c r="Z359" s="276">
        <v>1367500</v>
      </c>
      <c r="AA359" s="285">
        <v>6007</v>
      </c>
      <c r="AB359" s="295">
        <v>1606833.3351933332</v>
      </c>
    </row>
    <row r="360" spans="1:28" ht="15.75" customHeight="1">
      <c r="A360" s="124" t="s">
        <v>148</v>
      </c>
      <c r="B360" s="17" t="s">
        <v>154</v>
      </c>
      <c r="C360" s="274">
        <v>15366</v>
      </c>
      <c r="D360" s="275">
        <v>17</v>
      </c>
      <c r="E360" s="275">
        <v>2814</v>
      </c>
      <c r="F360" s="275">
        <v>1348</v>
      </c>
      <c r="G360" s="275">
        <v>45397</v>
      </c>
      <c r="H360" s="275">
        <v>17572</v>
      </c>
      <c r="I360" s="275">
        <v>70230</v>
      </c>
      <c r="J360" s="275">
        <v>55493</v>
      </c>
      <c r="K360" s="275">
        <v>32668</v>
      </c>
      <c r="L360" s="275">
        <v>21097</v>
      </c>
      <c r="M360" s="275">
        <v>7292</v>
      </c>
      <c r="N360" s="275">
        <v>8071</v>
      </c>
      <c r="O360" s="275">
        <v>78475</v>
      </c>
      <c r="P360" s="275">
        <v>38094</v>
      </c>
      <c r="Q360" s="275">
        <v>42504</v>
      </c>
      <c r="R360" s="275">
        <v>37856</v>
      </c>
      <c r="S360" s="275">
        <v>100806</v>
      </c>
      <c r="T360" s="275">
        <v>35305</v>
      </c>
      <c r="U360" s="275">
        <v>610405</v>
      </c>
      <c r="V360" s="276">
        <v>-3381</v>
      </c>
      <c r="W360" s="277">
        <v>607024</v>
      </c>
      <c r="X360" s="275">
        <v>18197</v>
      </c>
      <c r="Y360" s="275">
        <v>116975</v>
      </c>
      <c r="Z360" s="276">
        <v>475233</v>
      </c>
      <c r="AA360" s="285">
        <v>5210</v>
      </c>
      <c r="AB360" s="295">
        <v>598140.5325694934</v>
      </c>
    </row>
    <row r="361" spans="1:28" ht="15.75" customHeight="1">
      <c r="A361" s="124" t="s">
        <v>149</v>
      </c>
      <c r="B361" s="17" t="s">
        <v>155</v>
      </c>
      <c r="C361" s="274">
        <v>298</v>
      </c>
      <c r="D361" s="275">
        <v>34</v>
      </c>
      <c r="E361" s="275">
        <v>2508</v>
      </c>
      <c r="F361" s="275">
        <v>479</v>
      </c>
      <c r="G361" s="275">
        <v>13329</v>
      </c>
      <c r="H361" s="275">
        <v>30957</v>
      </c>
      <c r="I361" s="275">
        <v>98269</v>
      </c>
      <c r="J361" s="275">
        <v>124426</v>
      </c>
      <c r="K361" s="275">
        <v>151862</v>
      </c>
      <c r="L361" s="275">
        <v>58290</v>
      </c>
      <c r="M361" s="275">
        <v>103514</v>
      </c>
      <c r="N361" s="275">
        <v>85672</v>
      </c>
      <c r="O361" s="275">
        <v>138783</v>
      </c>
      <c r="P361" s="275">
        <v>177955</v>
      </c>
      <c r="Q361" s="275">
        <v>196269</v>
      </c>
      <c r="R361" s="275">
        <v>39684</v>
      </c>
      <c r="S361" s="275">
        <v>112503</v>
      </c>
      <c r="T361" s="275">
        <v>58273</v>
      </c>
      <c r="U361" s="275">
        <v>1393105</v>
      </c>
      <c r="V361" s="276">
        <v>-7713</v>
      </c>
      <c r="W361" s="277">
        <v>1385392</v>
      </c>
      <c r="X361" s="275">
        <v>2840</v>
      </c>
      <c r="Y361" s="275">
        <v>112077</v>
      </c>
      <c r="Z361" s="276">
        <v>1278188</v>
      </c>
      <c r="AA361" s="285">
        <v>7410</v>
      </c>
      <c r="AB361" s="295">
        <v>1374540.2306729017</v>
      </c>
    </row>
    <row r="362" spans="1:28" ht="15.75" customHeight="1">
      <c r="A362" s="124" t="s">
        <v>150</v>
      </c>
      <c r="B362" s="17" t="s">
        <v>156</v>
      </c>
      <c r="C362" s="274">
        <v>8851</v>
      </c>
      <c r="D362" s="275">
        <v>44</v>
      </c>
      <c r="E362" s="275">
        <v>761</v>
      </c>
      <c r="F362" s="275">
        <v>311</v>
      </c>
      <c r="G362" s="275">
        <v>9385</v>
      </c>
      <c r="H362" s="275">
        <v>6672</v>
      </c>
      <c r="I362" s="275">
        <v>31324</v>
      </c>
      <c r="J362" s="275">
        <v>19542</v>
      </c>
      <c r="K362" s="275">
        <v>9674</v>
      </c>
      <c r="L362" s="275">
        <v>8788</v>
      </c>
      <c r="M362" s="275">
        <v>1809</v>
      </c>
      <c r="N362" s="275">
        <v>2326</v>
      </c>
      <c r="O362" s="275">
        <v>15363</v>
      </c>
      <c r="P362" s="275">
        <v>12475</v>
      </c>
      <c r="Q362" s="275">
        <v>17748</v>
      </c>
      <c r="R362" s="275">
        <v>10386</v>
      </c>
      <c r="S362" s="275">
        <v>20449</v>
      </c>
      <c r="T362" s="275">
        <v>7027</v>
      </c>
      <c r="U362" s="275">
        <v>182935</v>
      </c>
      <c r="V362" s="276">
        <v>-1014</v>
      </c>
      <c r="W362" s="277">
        <v>181921</v>
      </c>
      <c r="X362" s="275">
        <v>9656</v>
      </c>
      <c r="Y362" s="275">
        <v>41020</v>
      </c>
      <c r="Z362" s="276">
        <v>132259</v>
      </c>
      <c r="AA362" s="285">
        <v>6039</v>
      </c>
      <c r="AB362" s="295">
        <v>178240.79063007908</v>
      </c>
    </row>
    <row r="363" spans="1:28" ht="15.75" customHeight="1">
      <c r="A363" s="125" t="s">
        <v>151</v>
      </c>
      <c r="B363" s="117" t="s">
        <v>157</v>
      </c>
      <c r="C363" s="278">
        <v>7756</v>
      </c>
      <c r="D363" s="279">
        <v>30</v>
      </c>
      <c r="E363" s="279">
        <v>939</v>
      </c>
      <c r="F363" s="279">
        <v>342</v>
      </c>
      <c r="G363" s="279">
        <v>7372</v>
      </c>
      <c r="H363" s="279">
        <v>7806</v>
      </c>
      <c r="I363" s="279">
        <v>24113</v>
      </c>
      <c r="J363" s="279">
        <v>13141</v>
      </c>
      <c r="K363" s="279">
        <v>16437</v>
      </c>
      <c r="L363" s="279">
        <v>15647</v>
      </c>
      <c r="M363" s="279">
        <v>1894</v>
      </c>
      <c r="N363" s="279">
        <v>2717</v>
      </c>
      <c r="O363" s="279">
        <v>17557</v>
      </c>
      <c r="P363" s="279">
        <v>17252</v>
      </c>
      <c r="Q363" s="279">
        <v>22822</v>
      </c>
      <c r="R363" s="279">
        <v>11485</v>
      </c>
      <c r="S363" s="279">
        <v>14317</v>
      </c>
      <c r="T363" s="279">
        <v>9848</v>
      </c>
      <c r="U363" s="279">
        <v>191475</v>
      </c>
      <c r="V363" s="280">
        <v>-1061</v>
      </c>
      <c r="W363" s="281">
        <v>190414</v>
      </c>
      <c r="X363" s="279">
        <v>8725</v>
      </c>
      <c r="Y363" s="279">
        <v>31827</v>
      </c>
      <c r="Z363" s="280">
        <v>150923</v>
      </c>
      <c r="AA363" s="286">
        <v>6094</v>
      </c>
      <c r="AB363" s="296">
        <v>186841.06019663112</v>
      </c>
    </row>
    <row r="364" spans="1:28" ht="15.75" customHeight="1">
      <c r="B364" s="25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6" spans="1:28" ht="13.5" customHeight="1">
      <c r="A366" s="56">
        <f>A314+1</f>
        <v>30</v>
      </c>
      <c r="B366" s="51" t="str">
        <f>IF(A366&lt;22,"令和"&amp;A366&amp;"年度","平成"&amp;A366&amp;"年度")</f>
        <v>平成30年度</v>
      </c>
      <c r="C366" s="57" t="str">
        <f>C$2</f>
        <v>経済活動別市町村内総生産（百万円）</v>
      </c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1"/>
      <c r="Y366" s="2"/>
      <c r="Z366" s="58"/>
      <c r="AA366" s="58"/>
      <c r="AB366" s="58"/>
    </row>
    <row r="367" spans="1:28" ht="45" customHeight="1">
      <c r="A367" s="198"/>
      <c r="B367" s="88"/>
      <c r="C367" s="89" t="s">
        <v>51</v>
      </c>
      <c r="D367" s="89" t="s">
        <v>52</v>
      </c>
      <c r="E367" s="89" t="s">
        <v>53</v>
      </c>
      <c r="F367" s="89" t="s">
        <v>54</v>
      </c>
      <c r="G367" s="89" t="s">
        <v>55</v>
      </c>
      <c r="H367" s="89" t="s">
        <v>56</v>
      </c>
      <c r="I367" s="89" t="s">
        <v>57</v>
      </c>
      <c r="J367" s="89" t="s">
        <v>58</v>
      </c>
      <c r="K367" s="89" t="s">
        <v>59</v>
      </c>
      <c r="L367" s="89" t="s">
        <v>60</v>
      </c>
      <c r="M367" s="89" t="s">
        <v>61</v>
      </c>
      <c r="N367" s="89" t="s">
        <v>62</v>
      </c>
      <c r="O367" s="89" t="s">
        <v>63</v>
      </c>
      <c r="P367" s="89" t="s">
        <v>64</v>
      </c>
      <c r="Q367" s="89" t="s">
        <v>65</v>
      </c>
      <c r="R367" s="89" t="s">
        <v>66</v>
      </c>
      <c r="S367" s="89" t="s">
        <v>67</v>
      </c>
      <c r="T367" s="89" t="s">
        <v>68</v>
      </c>
      <c r="U367" s="89" t="s">
        <v>70</v>
      </c>
      <c r="V367" s="90" t="s">
        <v>69</v>
      </c>
      <c r="W367" s="91" t="s">
        <v>71</v>
      </c>
      <c r="X367" s="89" t="s">
        <v>72</v>
      </c>
      <c r="Y367" s="89" t="s">
        <v>73</v>
      </c>
      <c r="Z367" s="89" t="s">
        <v>74</v>
      </c>
      <c r="AA367" s="282" t="s">
        <v>277</v>
      </c>
      <c r="AB367" s="292" t="s">
        <v>278</v>
      </c>
    </row>
    <row r="368" spans="1:28" ht="13.5" customHeight="1">
      <c r="A368" s="165" t="s">
        <v>160</v>
      </c>
      <c r="B368" s="22" t="s">
        <v>0</v>
      </c>
      <c r="C368" s="266">
        <v>49063</v>
      </c>
      <c r="D368" s="267">
        <v>322</v>
      </c>
      <c r="E368" s="267">
        <v>11288</v>
      </c>
      <c r="F368" s="267">
        <v>7599</v>
      </c>
      <c r="G368" s="267">
        <v>193283</v>
      </c>
      <c r="H368" s="267">
        <v>168054</v>
      </c>
      <c r="I368" s="267">
        <v>455228</v>
      </c>
      <c r="J368" s="267">
        <v>420644</v>
      </c>
      <c r="K368" s="267">
        <v>289560</v>
      </c>
      <c r="L368" s="267">
        <v>202270</v>
      </c>
      <c r="M368" s="267">
        <v>194850</v>
      </c>
      <c r="N368" s="267">
        <v>146137</v>
      </c>
      <c r="O368" s="267">
        <v>518526</v>
      </c>
      <c r="P368" s="267">
        <v>425187</v>
      </c>
      <c r="Q368" s="267">
        <v>415246</v>
      </c>
      <c r="R368" s="267">
        <v>238403</v>
      </c>
      <c r="S368" s="267">
        <v>511158</v>
      </c>
      <c r="T368" s="267">
        <v>228959</v>
      </c>
      <c r="U368" s="267">
        <v>4475777</v>
      </c>
      <c r="V368" s="268">
        <v>-26183</v>
      </c>
      <c r="W368" s="269">
        <v>4449594</v>
      </c>
      <c r="X368" s="267">
        <v>60673</v>
      </c>
      <c r="Y368" s="267">
        <v>656110</v>
      </c>
      <c r="Z368" s="268">
        <v>3758994</v>
      </c>
      <c r="AA368" s="283">
        <v>6177</v>
      </c>
      <c r="AB368" s="293">
        <v>4382412</v>
      </c>
    </row>
    <row r="369" spans="1:28" ht="13.5" customHeight="1">
      <c r="A369" s="16" t="s">
        <v>1</v>
      </c>
      <c r="B369" s="17" t="s">
        <v>2</v>
      </c>
      <c r="C369" s="270">
        <v>282</v>
      </c>
      <c r="D369" s="271">
        <v>36</v>
      </c>
      <c r="E369" s="271">
        <v>2471</v>
      </c>
      <c r="F369" s="271">
        <v>519</v>
      </c>
      <c r="G369" s="271">
        <v>13835</v>
      </c>
      <c r="H369" s="271">
        <v>31109</v>
      </c>
      <c r="I369" s="271">
        <v>91544</v>
      </c>
      <c r="J369" s="271">
        <v>123487</v>
      </c>
      <c r="K369" s="271">
        <v>151606</v>
      </c>
      <c r="L369" s="271">
        <v>59510</v>
      </c>
      <c r="M369" s="271">
        <v>104142</v>
      </c>
      <c r="N369" s="271">
        <v>88004</v>
      </c>
      <c r="O369" s="271">
        <v>141502</v>
      </c>
      <c r="P369" s="271">
        <v>180044</v>
      </c>
      <c r="Q369" s="271">
        <v>201982</v>
      </c>
      <c r="R369" s="271">
        <v>40608</v>
      </c>
      <c r="S369" s="271">
        <v>116753</v>
      </c>
      <c r="T369" s="271">
        <v>57800</v>
      </c>
      <c r="U369" s="271">
        <v>1405234</v>
      </c>
      <c r="V369" s="272">
        <v>-8221</v>
      </c>
      <c r="W369" s="273">
        <v>1397013</v>
      </c>
      <c r="X369" s="271">
        <v>2789</v>
      </c>
      <c r="Y369" s="271">
        <v>105898</v>
      </c>
      <c r="Z369" s="272">
        <v>1296547</v>
      </c>
      <c r="AA369" s="284">
        <v>7375</v>
      </c>
      <c r="AB369" s="294">
        <v>1377657.776283022</v>
      </c>
    </row>
    <row r="370" spans="1:28" ht="13.5" customHeight="1">
      <c r="A370" s="18" t="s">
        <v>3</v>
      </c>
      <c r="B370" s="19" t="s">
        <v>4</v>
      </c>
      <c r="C370" s="274">
        <v>131</v>
      </c>
      <c r="D370" s="275">
        <v>0</v>
      </c>
      <c r="E370" s="275">
        <v>161</v>
      </c>
      <c r="F370" s="275">
        <v>552</v>
      </c>
      <c r="G370" s="275">
        <v>2428</v>
      </c>
      <c r="H370" s="275">
        <v>7874</v>
      </c>
      <c r="I370" s="275">
        <v>23507</v>
      </c>
      <c r="J370" s="275">
        <v>24588</v>
      </c>
      <c r="K370" s="275">
        <v>5474</v>
      </c>
      <c r="L370" s="275">
        <v>8373</v>
      </c>
      <c r="M370" s="275">
        <v>14672</v>
      </c>
      <c r="N370" s="275">
        <v>4730</v>
      </c>
      <c r="O370" s="275">
        <v>35130</v>
      </c>
      <c r="P370" s="275">
        <v>20541</v>
      </c>
      <c r="Q370" s="275">
        <v>8724</v>
      </c>
      <c r="R370" s="275">
        <v>13431</v>
      </c>
      <c r="S370" s="275">
        <v>20636</v>
      </c>
      <c r="T370" s="275">
        <v>13027</v>
      </c>
      <c r="U370" s="275">
        <v>203979</v>
      </c>
      <c r="V370" s="276">
        <v>-1193</v>
      </c>
      <c r="W370" s="277">
        <v>202786</v>
      </c>
      <c r="X370" s="275">
        <v>292</v>
      </c>
      <c r="Y370" s="275">
        <v>26487</v>
      </c>
      <c r="Z370" s="276">
        <v>177200</v>
      </c>
      <c r="AA370" s="285">
        <v>5505</v>
      </c>
      <c r="AB370" s="295">
        <v>200247.3399161429</v>
      </c>
    </row>
    <row r="371" spans="1:28" ht="13.5" customHeight="1">
      <c r="A371" s="18" t="s">
        <v>5</v>
      </c>
      <c r="B371" s="19" t="s">
        <v>6</v>
      </c>
      <c r="C371" s="274">
        <v>5523</v>
      </c>
      <c r="D371" s="275">
        <v>21</v>
      </c>
      <c r="E371" s="275">
        <v>799</v>
      </c>
      <c r="F371" s="275">
        <v>292</v>
      </c>
      <c r="G371" s="275">
        <v>5746</v>
      </c>
      <c r="H371" s="275">
        <v>7105</v>
      </c>
      <c r="I371" s="275">
        <v>21378</v>
      </c>
      <c r="J371" s="275">
        <v>12386</v>
      </c>
      <c r="K371" s="275">
        <v>15278</v>
      </c>
      <c r="L371" s="275">
        <v>12195</v>
      </c>
      <c r="M371" s="275">
        <v>1821</v>
      </c>
      <c r="N371" s="275">
        <v>2702</v>
      </c>
      <c r="O371" s="275">
        <v>16411</v>
      </c>
      <c r="P371" s="275">
        <v>15593</v>
      </c>
      <c r="Q371" s="275">
        <v>20114</v>
      </c>
      <c r="R371" s="275">
        <v>9006</v>
      </c>
      <c r="S371" s="275">
        <v>13705</v>
      </c>
      <c r="T371" s="275">
        <v>7884</v>
      </c>
      <c r="U371" s="275">
        <v>167959</v>
      </c>
      <c r="V371" s="276">
        <v>-983</v>
      </c>
      <c r="W371" s="277">
        <v>166976</v>
      </c>
      <c r="X371" s="275">
        <v>6343</v>
      </c>
      <c r="Y371" s="275">
        <v>27416</v>
      </c>
      <c r="Z371" s="276">
        <v>134200</v>
      </c>
      <c r="AA371" s="285">
        <v>6402</v>
      </c>
      <c r="AB371" s="295">
        <v>163213.50337097375</v>
      </c>
    </row>
    <row r="372" spans="1:28" ht="13.5" customHeight="1">
      <c r="A372" s="18" t="s">
        <v>7</v>
      </c>
      <c r="B372" s="19" t="s">
        <v>8</v>
      </c>
      <c r="C372" s="274">
        <v>25</v>
      </c>
      <c r="D372" s="275">
        <v>2</v>
      </c>
      <c r="E372" s="275">
        <v>224</v>
      </c>
      <c r="F372" s="275">
        <v>149</v>
      </c>
      <c r="G372" s="275">
        <v>22588</v>
      </c>
      <c r="H372" s="275">
        <v>15134</v>
      </c>
      <c r="I372" s="275">
        <v>29630</v>
      </c>
      <c r="J372" s="275">
        <v>80526</v>
      </c>
      <c r="K372" s="275">
        <v>22849</v>
      </c>
      <c r="L372" s="275">
        <v>9046</v>
      </c>
      <c r="M372" s="275">
        <v>35567</v>
      </c>
      <c r="N372" s="275">
        <v>11063</v>
      </c>
      <c r="O372" s="275">
        <v>42708</v>
      </c>
      <c r="P372" s="275">
        <v>48668</v>
      </c>
      <c r="Q372" s="275">
        <v>14083</v>
      </c>
      <c r="R372" s="275">
        <v>18099</v>
      </c>
      <c r="S372" s="275">
        <v>40653</v>
      </c>
      <c r="T372" s="275">
        <v>18132</v>
      </c>
      <c r="U372" s="275">
        <v>409146</v>
      </c>
      <c r="V372" s="276">
        <v>-2394</v>
      </c>
      <c r="W372" s="277">
        <v>406752</v>
      </c>
      <c r="X372" s="275">
        <v>251</v>
      </c>
      <c r="Y372" s="275">
        <v>52367</v>
      </c>
      <c r="Z372" s="276">
        <v>356528</v>
      </c>
      <c r="AA372" s="285">
        <v>6853</v>
      </c>
      <c r="AB372" s="295">
        <v>403792.18599095539</v>
      </c>
    </row>
    <row r="373" spans="1:28" ht="13.5" customHeight="1">
      <c r="A373" s="16" t="s">
        <v>9</v>
      </c>
      <c r="B373" s="17" t="s">
        <v>10</v>
      </c>
      <c r="C373" s="274">
        <v>2839</v>
      </c>
      <c r="D373" s="275">
        <v>67</v>
      </c>
      <c r="E373" s="275">
        <v>419</v>
      </c>
      <c r="F373" s="275">
        <v>1581</v>
      </c>
      <c r="G373" s="275">
        <v>16455</v>
      </c>
      <c r="H373" s="275">
        <v>7287</v>
      </c>
      <c r="I373" s="275">
        <v>27950</v>
      </c>
      <c r="J373" s="275">
        <v>16182</v>
      </c>
      <c r="K373" s="275">
        <v>6804</v>
      </c>
      <c r="L373" s="275">
        <v>12864</v>
      </c>
      <c r="M373" s="275">
        <v>2736</v>
      </c>
      <c r="N373" s="275">
        <v>4550</v>
      </c>
      <c r="O373" s="275">
        <v>20330</v>
      </c>
      <c r="P373" s="275">
        <v>14427</v>
      </c>
      <c r="Q373" s="275">
        <v>14238</v>
      </c>
      <c r="R373" s="275">
        <v>14940</v>
      </c>
      <c r="S373" s="275">
        <v>32073</v>
      </c>
      <c r="T373" s="275">
        <v>9309</v>
      </c>
      <c r="U373" s="275">
        <v>205051</v>
      </c>
      <c r="V373" s="276">
        <v>-1199</v>
      </c>
      <c r="W373" s="277">
        <v>203852</v>
      </c>
      <c r="X373" s="275">
        <v>3325</v>
      </c>
      <c r="Y373" s="275">
        <v>45986</v>
      </c>
      <c r="Z373" s="276">
        <v>155740</v>
      </c>
      <c r="AA373" s="285">
        <v>5937</v>
      </c>
      <c r="AB373" s="295">
        <v>200297.58854665884</v>
      </c>
    </row>
    <row r="374" spans="1:28" ht="13.5" customHeight="1">
      <c r="A374" s="18" t="s">
        <v>11</v>
      </c>
      <c r="B374" s="19" t="s">
        <v>12</v>
      </c>
      <c r="C374" s="274">
        <v>3764</v>
      </c>
      <c r="D374" s="275">
        <v>1</v>
      </c>
      <c r="E374" s="275">
        <v>533</v>
      </c>
      <c r="F374" s="275">
        <v>922</v>
      </c>
      <c r="G374" s="275">
        <v>20027</v>
      </c>
      <c r="H374" s="275">
        <v>3252</v>
      </c>
      <c r="I374" s="275">
        <v>11693</v>
      </c>
      <c r="J374" s="275">
        <v>11507</v>
      </c>
      <c r="K374" s="275">
        <v>7812</v>
      </c>
      <c r="L374" s="275">
        <v>5840</v>
      </c>
      <c r="M374" s="275">
        <v>857</v>
      </c>
      <c r="N374" s="275">
        <v>1986</v>
      </c>
      <c r="O374" s="275">
        <v>17724</v>
      </c>
      <c r="P374" s="275">
        <v>4673</v>
      </c>
      <c r="Q374" s="275">
        <v>8197</v>
      </c>
      <c r="R374" s="275">
        <v>9445</v>
      </c>
      <c r="S374" s="275">
        <v>20122</v>
      </c>
      <c r="T374" s="275">
        <v>8421</v>
      </c>
      <c r="U374" s="275">
        <v>136776</v>
      </c>
      <c r="V374" s="276">
        <v>-800</v>
      </c>
      <c r="W374" s="277">
        <v>135976</v>
      </c>
      <c r="X374" s="275">
        <v>4298</v>
      </c>
      <c r="Y374" s="275">
        <v>32642</v>
      </c>
      <c r="Z374" s="276">
        <v>99836</v>
      </c>
      <c r="AA374" s="285">
        <v>4686</v>
      </c>
      <c r="AB374" s="295">
        <v>133943.53808716231</v>
      </c>
    </row>
    <row r="375" spans="1:28" ht="13.5" customHeight="1">
      <c r="A375" s="18" t="s">
        <v>13</v>
      </c>
      <c r="B375" s="19" t="s">
        <v>14</v>
      </c>
      <c r="C375" s="274">
        <v>1066</v>
      </c>
      <c r="D375" s="275">
        <v>3</v>
      </c>
      <c r="E375" s="275">
        <v>188</v>
      </c>
      <c r="F375" s="275">
        <v>221</v>
      </c>
      <c r="G375" s="275">
        <v>11631</v>
      </c>
      <c r="H375" s="275">
        <v>9507</v>
      </c>
      <c r="I375" s="275">
        <v>35038</v>
      </c>
      <c r="J375" s="275">
        <v>24525</v>
      </c>
      <c r="K375" s="275">
        <v>10803</v>
      </c>
      <c r="L375" s="275">
        <v>14269</v>
      </c>
      <c r="M375" s="275">
        <v>3432</v>
      </c>
      <c r="N375" s="275">
        <v>10258</v>
      </c>
      <c r="O375" s="275">
        <v>48315</v>
      </c>
      <c r="P375" s="275">
        <v>32927</v>
      </c>
      <c r="Q375" s="275">
        <v>28843</v>
      </c>
      <c r="R375" s="275">
        <v>19835</v>
      </c>
      <c r="S375" s="275">
        <v>57114</v>
      </c>
      <c r="T375" s="275">
        <v>20288</v>
      </c>
      <c r="U375" s="275">
        <v>328263</v>
      </c>
      <c r="V375" s="276">
        <v>-1921</v>
      </c>
      <c r="W375" s="277">
        <v>326342</v>
      </c>
      <c r="X375" s="275">
        <v>1257</v>
      </c>
      <c r="Y375" s="275">
        <v>46890</v>
      </c>
      <c r="Z375" s="276">
        <v>280116</v>
      </c>
      <c r="AA375" s="285">
        <v>5941</v>
      </c>
      <c r="AB375" s="295">
        <v>321417.84862473968</v>
      </c>
    </row>
    <row r="376" spans="1:28" ht="13.5" customHeight="1">
      <c r="A376" s="18" t="s">
        <v>15</v>
      </c>
      <c r="B376" s="19" t="s">
        <v>45</v>
      </c>
      <c r="C376" s="274">
        <v>1315</v>
      </c>
      <c r="D376" s="275">
        <v>1</v>
      </c>
      <c r="E376" s="275">
        <v>374</v>
      </c>
      <c r="F376" s="275">
        <v>66</v>
      </c>
      <c r="G376" s="275">
        <v>4754</v>
      </c>
      <c r="H376" s="275">
        <v>3595</v>
      </c>
      <c r="I376" s="275">
        <v>15264</v>
      </c>
      <c r="J376" s="275">
        <v>16151</v>
      </c>
      <c r="K376" s="275">
        <v>13462</v>
      </c>
      <c r="L376" s="275">
        <v>5285</v>
      </c>
      <c r="M376" s="275">
        <v>5520</v>
      </c>
      <c r="N376" s="275">
        <v>2149</v>
      </c>
      <c r="O376" s="275">
        <v>20584</v>
      </c>
      <c r="P376" s="275">
        <v>21798</v>
      </c>
      <c r="Q376" s="275">
        <v>6373</v>
      </c>
      <c r="R376" s="275">
        <v>7425</v>
      </c>
      <c r="S376" s="275">
        <v>27456</v>
      </c>
      <c r="T376" s="275">
        <v>7333</v>
      </c>
      <c r="U376" s="275">
        <v>158905</v>
      </c>
      <c r="V376" s="276">
        <v>-930</v>
      </c>
      <c r="W376" s="277">
        <v>157975</v>
      </c>
      <c r="X376" s="275">
        <v>1690</v>
      </c>
      <c r="Y376" s="275">
        <v>20084</v>
      </c>
      <c r="Z376" s="276">
        <v>137131</v>
      </c>
      <c r="AA376" s="285">
        <v>5851</v>
      </c>
      <c r="AB376" s="295">
        <v>155341.84787594483</v>
      </c>
    </row>
    <row r="377" spans="1:28" ht="13.5" customHeight="1">
      <c r="A377" s="18" t="s">
        <v>16</v>
      </c>
      <c r="B377" s="19" t="s">
        <v>46</v>
      </c>
      <c r="C377" s="274">
        <v>2336</v>
      </c>
      <c r="D377" s="275">
        <v>1</v>
      </c>
      <c r="E377" s="275">
        <v>1031</v>
      </c>
      <c r="F377" s="275">
        <v>414</v>
      </c>
      <c r="G377" s="275">
        <v>24809</v>
      </c>
      <c r="H377" s="275">
        <v>23604</v>
      </c>
      <c r="I377" s="275">
        <v>29351</v>
      </c>
      <c r="J377" s="275">
        <v>23289</v>
      </c>
      <c r="K377" s="275">
        <v>10657</v>
      </c>
      <c r="L377" s="275">
        <v>8389</v>
      </c>
      <c r="M377" s="275">
        <v>12958</v>
      </c>
      <c r="N377" s="275">
        <v>5061</v>
      </c>
      <c r="O377" s="275">
        <v>39967</v>
      </c>
      <c r="P377" s="275">
        <v>30693</v>
      </c>
      <c r="Q377" s="275">
        <v>21375</v>
      </c>
      <c r="R377" s="275">
        <v>15549</v>
      </c>
      <c r="S377" s="275">
        <v>33747</v>
      </c>
      <c r="T377" s="275">
        <v>15892</v>
      </c>
      <c r="U377" s="275">
        <v>299123</v>
      </c>
      <c r="V377" s="276">
        <v>-1750</v>
      </c>
      <c r="W377" s="277">
        <v>297373</v>
      </c>
      <c r="X377" s="275">
        <v>3368</v>
      </c>
      <c r="Y377" s="275">
        <v>54574</v>
      </c>
      <c r="Z377" s="276">
        <v>241181</v>
      </c>
      <c r="AA377" s="285">
        <v>6301</v>
      </c>
      <c r="AB377" s="295">
        <v>294237.78870313155</v>
      </c>
    </row>
    <row r="378" spans="1:28" ht="13.5" customHeight="1">
      <c r="A378" s="18">
        <v>10</v>
      </c>
      <c r="B378" s="19" t="s">
        <v>47</v>
      </c>
      <c r="C378" s="274">
        <v>7227</v>
      </c>
      <c r="D378" s="275">
        <v>45</v>
      </c>
      <c r="E378" s="275">
        <v>770</v>
      </c>
      <c r="F378" s="275">
        <v>337</v>
      </c>
      <c r="G378" s="275">
        <v>8658</v>
      </c>
      <c r="H378" s="275">
        <v>6371</v>
      </c>
      <c r="I378" s="275">
        <v>35586</v>
      </c>
      <c r="J378" s="275">
        <v>19175</v>
      </c>
      <c r="K378" s="275">
        <v>9964</v>
      </c>
      <c r="L378" s="275">
        <v>9462</v>
      </c>
      <c r="M378" s="275">
        <v>2019</v>
      </c>
      <c r="N378" s="275">
        <v>2435</v>
      </c>
      <c r="O378" s="275">
        <v>15586</v>
      </c>
      <c r="P378" s="275">
        <v>12746</v>
      </c>
      <c r="Q378" s="275">
        <v>17437</v>
      </c>
      <c r="R378" s="275">
        <v>10035</v>
      </c>
      <c r="S378" s="275">
        <v>20366</v>
      </c>
      <c r="T378" s="275">
        <v>7153</v>
      </c>
      <c r="U378" s="275">
        <v>185372</v>
      </c>
      <c r="V378" s="276">
        <v>-1084</v>
      </c>
      <c r="W378" s="277">
        <v>184288</v>
      </c>
      <c r="X378" s="275">
        <v>8042</v>
      </c>
      <c r="Y378" s="275">
        <v>44581</v>
      </c>
      <c r="Z378" s="276">
        <v>132749</v>
      </c>
      <c r="AA378" s="285">
        <v>6107</v>
      </c>
      <c r="AB378" s="295">
        <v>179929.81112881986</v>
      </c>
    </row>
    <row r="379" spans="1:28" ht="13.5" customHeight="1">
      <c r="A379" s="20">
        <v>11</v>
      </c>
      <c r="B379" s="21" t="s">
        <v>48</v>
      </c>
      <c r="C379" s="278">
        <v>2470</v>
      </c>
      <c r="D379" s="279">
        <v>4</v>
      </c>
      <c r="E379" s="279">
        <v>627</v>
      </c>
      <c r="F379" s="279">
        <v>116</v>
      </c>
      <c r="G379" s="279">
        <v>8828</v>
      </c>
      <c r="H379" s="279">
        <v>3410</v>
      </c>
      <c r="I379" s="279">
        <v>13567</v>
      </c>
      <c r="J379" s="279">
        <v>4285</v>
      </c>
      <c r="K379" s="279">
        <v>4203</v>
      </c>
      <c r="L379" s="279">
        <v>2042</v>
      </c>
      <c r="M379" s="279">
        <v>1497</v>
      </c>
      <c r="N379" s="279">
        <v>490</v>
      </c>
      <c r="O379" s="279">
        <v>11978</v>
      </c>
      <c r="P379" s="279">
        <v>2808</v>
      </c>
      <c r="Q379" s="279">
        <v>9891</v>
      </c>
      <c r="R379" s="279">
        <v>3801</v>
      </c>
      <c r="S379" s="279">
        <v>9646</v>
      </c>
      <c r="T379" s="279">
        <v>5163</v>
      </c>
      <c r="U379" s="279">
        <v>84826</v>
      </c>
      <c r="V379" s="280">
        <v>-496</v>
      </c>
      <c r="W379" s="281">
        <v>84330</v>
      </c>
      <c r="X379" s="279">
        <v>3101</v>
      </c>
      <c r="Y379" s="279">
        <v>22511</v>
      </c>
      <c r="Z379" s="280">
        <v>59214</v>
      </c>
      <c r="AA379" s="286">
        <v>4999</v>
      </c>
      <c r="AB379" s="296">
        <v>82984.379753682806</v>
      </c>
    </row>
    <row r="380" spans="1:28" ht="13.5" customHeight="1">
      <c r="A380" s="18">
        <v>12</v>
      </c>
      <c r="B380" s="19" t="s">
        <v>17</v>
      </c>
      <c r="C380" s="270">
        <v>1995</v>
      </c>
      <c r="D380" s="271">
        <v>71</v>
      </c>
      <c r="E380" s="271">
        <v>47</v>
      </c>
      <c r="F380" s="271">
        <v>138</v>
      </c>
      <c r="G380" s="271">
        <v>180</v>
      </c>
      <c r="H380" s="271">
        <v>462</v>
      </c>
      <c r="I380" s="271">
        <v>2200</v>
      </c>
      <c r="J380" s="271">
        <v>472</v>
      </c>
      <c r="K380" s="271">
        <v>150</v>
      </c>
      <c r="L380" s="271">
        <v>1700</v>
      </c>
      <c r="M380" s="271">
        <v>0</v>
      </c>
      <c r="N380" s="271">
        <v>143</v>
      </c>
      <c r="O380" s="271">
        <v>1066</v>
      </c>
      <c r="P380" s="271">
        <v>187</v>
      </c>
      <c r="Q380" s="271">
        <v>1395</v>
      </c>
      <c r="R380" s="271">
        <v>1052</v>
      </c>
      <c r="S380" s="271">
        <v>816</v>
      </c>
      <c r="T380" s="271">
        <v>578</v>
      </c>
      <c r="U380" s="271">
        <v>12652</v>
      </c>
      <c r="V380" s="272">
        <v>-74</v>
      </c>
      <c r="W380" s="273">
        <v>12578</v>
      </c>
      <c r="X380" s="271">
        <v>2113</v>
      </c>
      <c r="Y380" s="271">
        <v>2518</v>
      </c>
      <c r="Z380" s="272">
        <v>8021</v>
      </c>
      <c r="AA380" s="284">
        <v>4254</v>
      </c>
      <c r="AB380" s="294">
        <v>12114.289618094386</v>
      </c>
    </row>
    <row r="381" spans="1:28" ht="13.5" customHeight="1">
      <c r="A381" s="18">
        <v>13</v>
      </c>
      <c r="B381" s="19" t="s">
        <v>18</v>
      </c>
      <c r="C381" s="274">
        <v>1394</v>
      </c>
      <c r="D381" s="275">
        <v>7</v>
      </c>
      <c r="E381" s="275">
        <v>266</v>
      </c>
      <c r="F381" s="275">
        <v>0</v>
      </c>
      <c r="G381" s="275">
        <v>156</v>
      </c>
      <c r="H381" s="275">
        <v>261</v>
      </c>
      <c r="I381" s="275">
        <v>1415</v>
      </c>
      <c r="J381" s="275">
        <v>187</v>
      </c>
      <c r="K381" s="275">
        <v>552</v>
      </c>
      <c r="L381" s="275">
        <v>98</v>
      </c>
      <c r="M381" s="275">
        <v>0</v>
      </c>
      <c r="N381" s="275">
        <v>3</v>
      </c>
      <c r="O381" s="275">
        <v>752</v>
      </c>
      <c r="P381" s="275">
        <v>224</v>
      </c>
      <c r="Q381" s="275">
        <v>856</v>
      </c>
      <c r="R381" s="275">
        <v>633</v>
      </c>
      <c r="S381" s="275">
        <v>813</v>
      </c>
      <c r="T381" s="275">
        <v>299</v>
      </c>
      <c r="U381" s="275">
        <v>7916</v>
      </c>
      <c r="V381" s="276">
        <v>-47</v>
      </c>
      <c r="W381" s="277">
        <v>7869</v>
      </c>
      <c r="X381" s="275">
        <v>1667</v>
      </c>
      <c r="Y381" s="275">
        <v>1571</v>
      </c>
      <c r="Z381" s="276">
        <v>4678</v>
      </c>
      <c r="AA381" s="285">
        <v>4369</v>
      </c>
      <c r="AB381" s="295">
        <v>7545.1667039764861</v>
      </c>
    </row>
    <row r="382" spans="1:28" ht="13.5" customHeight="1">
      <c r="A382" s="18">
        <v>14</v>
      </c>
      <c r="B382" s="19" t="s">
        <v>19</v>
      </c>
      <c r="C382" s="274">
        <v>845</v>
      </c>
      <c r="D382" s="275">
        <v>5</v>
      </c>
      <c r="E382" s="275">
        <v>26</v>
      </c>
      <c r="F382" s="275">
        <v>0</v>
      </c>
      <c r="G382" s="275">
        <v>301</v>
      </c>
      <c r="H382" s="275">
        <v>17</v>
      </c>
      <c r="I382" s="275">
        <v>756</v>
      </c>
      <c r="J382" s="275">
        <v>104</v>
      </c>
      <c r="K382" s="275">
        <v>110</v>
      </c>
      <c r="L382" s="275">
        <v>254</v>
      </c>
      <c r="M382" s="275">
        <v>0</v>
      </c>
      <c r="N382" s="275">
        <v>3</v>
      </c>
      <c r="O382" s="275">
        <v>343</v>
      </c>
      <c r="P382" s="275">
        <v>1362</v>
      </c>
      <c r="Q382" s="275">
        <v>776</v>
      </c>
      <c r="R382" s="275">
        <v>504</v>
      </c>
      <c r="S382" s="275">
        <v>324</v>
      </c>
      <c r="T382" s="275">
        <v>231</v>
      </c>
      <c r="U382" s="275">
        <v>5961</v>
      </c>
      <c r="V382" s="276">
        <v>-35</v>
      </c>
      <c r="W382" s="277">
        <v>5926</v>
      </c>
      <c r="X382" s="275">
        <v>876</v>
      </c>
      <c r="Y382" s="275">
        <v>1057</v>
      </c>
      <c r="Z382" s="276">
        <v>4028</v>
      </c>
      <c r="AA382" s="285">
        <v>4748</v>
      </c>
      <c r="AB382" s="295">
        <v>5723.2200950852193</v>
      </c>
    </row>
    <row r="383" spans="1:28" ht="13.5" customHeight="1">
      <c r="A383" s="18">
        <v>15</v>
      </c>
      <c r="B383" s="19" t="s">
        <v>20</v>
      </c>
      <c r="C383" s="274">
        <v>1789</v>
      </c>
      <c r="D383" s="275">
        <v>5</v>
      </c>
      <c r="E383" s="275">
        <v>117</v>
      </c>
      <c r="F383" s="275">
        <v>17</v>
      </c>
      <c r="G383" s="275">
        <v>977</v>
      </c>
      <c r="H383" s="275">
        <v>634</v>
      </c>
      <c r="I383" s="275">
        <v>3183</v>
      </c>
      <c r="J383" s="275">
        <v>604</v>
      </c>
      <c r="K383" s="275">
        <v>447</v>
      </c>
      <c r="L383" s="275">
        <v>1275</v>
      </c>
      <c r="M383" s="275">
        <v>3</v>
      </c>
      <c r="N383" s="275">
        <v>109</v>
      </c>
      <c r="O383" s="275">
        <v>2121</v>
      </c>
      <c r="P383" s="275">
        <v>908</v>
      </c>
      <c r="Q383" s="275">
        <v>1248</v>
      </c>
      <c r="R383" s="275">
        <v>1259</v>
      </c>
      <c r="S383" s="275">
        <v>2199</v>
      </c>
      <c r="T383" s="275">
        <v>1486</v>
      </c>
      <c r="U383" s="275">
        <v>18381</v>
      </c>
      <c r="V383" s="276">
        <v>-108</v>
      </c>
      <c r="W383" s="277">
        <v>18273</v>
      </c>
      <c r="X383" s="275">
        <v>1911</v>
      </c>
      <c r="Y383" s="275">
        <v>4177</v>
      </c>
      <c r="Z383" s="276">
        <v>12293</v>
      </c>
      <c r="AA383" s="285">
        <v>3912</v>
      </c>
      <c r="AB383" s="295">
        <v>17744.315577877886</v>
      </c>
    </row>
    <row r="384" spans="1:28" ht="13.5" customHeight="1">
      <c r="A384" s="18">
        <v>16</v>
      </c>
      <c r="B384" s="19" t="s">
        <v>21</v>
      </c>
      <c r="C384" s="274">
        <v>1223</v>
      </c>
      <c r="D384" s="275">
        <v>2</v>
      </c>
      <c r="E384" s="275">
        <v>340</v>
      </c>
      <c r="F384" s="275">
        <v>1148</v>
      </c>
      <c r="G384" s="275">
        <v>1783</v>
      </c>
      <c r="H384" s="275">
        <v>1264</v>
      </c>
      <c r="I384" s="275">
        <v>6360</v>
      </c>
      <c r="J384" s="275">
        <v>1739</v>
      </c>
      <c r="K384" s="275">
        <v>1798</v>
      </c>
      <c r="L384" s="275">
        <v>3961</v>
      </c>
      <c r="M384" s="275">
        <v>0</v>
      </c>
      <c r="N384" s="275">
        <v>520</v>
      </c>
      <c r="O384" s="275">
        <v>3712</v>
      </c>
      <c r="P384" s="275">
        <v>2372</v>
      </c>
      <c r="Q384" s="275">
        <v>2079</v>
      </c>
      <c r="R384" s="275">
        <v>2081</v>
      </c>
      <c r="S384" s="275">
        <v>4527</v>
      </c>
      <c r="T384" s="275">
        <v>5850</v>
      </c>
      <c r="U384" s="275">
        <v>40759</v>
      </c>
      <c r="V384" s="276">
        <v>-238</v>
      </c>
      <c r="W384" s="277">
        <v>40521</v>
      </c>
      <c r="X384" s="275">
        <v>1565</v>
      </c>
      <c r="Y384" s="275">
        <v>9291</v>
      </c>
      <c r="Z384" s="276">
        <v>29903</v>
      </c>
      <c r="AA384" s="285">
        <v>4653</v>
      </c>
      <c r="AB384" s="295">
        <v>39590.18939562983</v>
      </c>
    </row>
    <row r="385" spans="1:28" ht="13.5" customHeight="1">
      <c r="A385" s="18">
        <v>17</v>
      </c>
      <c r="B385" s="19" t="s">
        <v>22</v>
      </c>
      <c r="C385" s="274">
        <v>656</v>
      </c>
      <c r="D385" s="275">
        <v>13</v>
      </c>
      <c r="E385" s="275">
        <v>373</v>
      </c>
      <c r="F385" s="275">
        <v>116</v>
      </c>
      <c r="G385" s="275">
        <v>357</v>
      </c>
      <c r="H385" s="275">
        <v>706</v>
      </c>
      <c r="I385" s="275">
        <v>13154</v>
      </c>
      <c r="J385" s="275">
        <v>1553</v>
      </c>
      <c r="K385" s="275">
        <v>1316</v>
      </c>
      <c r="L385" s="275">
        <v>12475</v>
      </c>
      <c r="M385" s="275">
        <v>113</v>
      </c>
      <c r="N385" s="275">
        <v>164</v>
      </c>
      <c r="O385" s="275">
        <v>4836</v>
      </c>
      <c r="P385" s="275">
        <v>1516</v>
      </c>
      <c r="Q385" s="275">
        <v>3650</v>
      </c>
      <c r="R385" s="275">
        <v>8886</v>
      </c>
      <c r="S385" s="275">
        <v>1547</v>
      </c>
      <c r="T385" s="275">
        <v>3879</v>
      </c>
      <c r="U385" s="275">
        <v>55310</v>
      </c>
      <c r="V385" s="276">
        <v>-323</v>
      </c>
      <c r="W385" s="277">
        <v>54987</v>
      </c>
      <c r="X385" s="275">
        <v>1042</v>
      </c>
      <c r="Y385" s="275">
        <v>13627</v>
      </c>
      <c r="Z385" s="276">
        <v>40641</v>
      </c>
      <c r="AA385" s="285">
        <v>5232</v>
      </c>
      <c r="AB385" s="295">
        <v>53561.734163218884</v>
      </c>
    </row>
    <row r="386" spans="1:28" ht="13.5" customHeight="1">
      <c r="A386" s="18">
        <v>18</v>
      </c>
      <c r="B386" s="19" t="s">
        <v>23</v>
      </c>
      <c r="C386" s="274">
        <v>624</v>
      </c>
      <c r="D386" s="275">
        <v>5</v>
      </c>
      <c r="E386" s="275">
        <v>175</v>
      </c>
      <c r="F386" s="275">
        <v>11</v>
      </c>
      <c r="G386" s="275">
        <v>189</v>
      </c>
      <c r="H386" s="275">
        <v>586</v>
      </c>
      <c r="I386" s="275">
        <v>2157</v>
      </c>
      <c r="J386" s="275">
        <v>461</v>
      </c>
      <c r="K386" s="275">
        <v>1834</v>
      </c>
      <c r="L386" s="275">
        <v>257</v>
      </c>
      <c r="M386" s="275">
        <v>863</v>
      </c>
      <c r="N386" s="275">
        <v>34</v>
      </c>
      <c r="O386" s="275">
        <v>1517</v>
      </c>
      <c r="P386" s="275">
        <v>1248</v>
      </c>
      <c r="Q386" s="275">
        <v>1553</v>
      </c>
      <c r="R386" s="275">
        <v>1175</v>
      </c>
      <c r="S386" s="275">
        <v>2004</v>
      </c>
      <c r="T386" s="275">
        <v>1016</v>
      </c>
      <c r="U386" s="275">
        <v>15709</v>
      </c>
      <c r="V386" s="276">
        <v>-92</v>
      </c>
      <c r="W386" s="277">
        <v>15617</v>
      </c>
      <c r="X386" s="275">
        <v>804</v>
      </c>
      <c r="Y386" s="275">
        <v>2357</v>
      </c>
      <c r="Z386" s="276">
        <v>12548</v>
      </c>
      <c r="AA386" s="285">
        <v>5149</v>
      </c>
      <c r="AB386" s="295">
        <v>15304.508522013826</v>
      </c>
    </row>
    <row r="387" spans="1:28" ht="13.5" customHeight="1">
      <c r="A387" s="18">
        <v>19</v>
      </c>
      <c r="B387" s="19" t="s">
        <v>24</v>
      </c>
      <c r="C387" s="274">
        <v>709</v>
      </c>
      <c r="D387" s="275">
        <v>0</v>
      </c>
      <c r="E387" s="275">
        <v>80</v>
      </c>
      <c r="F387" s="275">
        <v>61</v>
      </c>
      <c r="G387" s="275">
        <v>735</v>
      </c>
      <c r="H387" s="275">
        <v>9454</v>
      </c>
      <c r="I387" s="275">
        <v>5869</v>
      </c>
      <c r="J387" s="275">
        <v>1107</v>
      </c>
      <c r="K387" s="275">
        <v>2592</v>
      </c>
      <c r="L387" s="275">
        <v>951</v>
      </c>
      <c r="M387" s="275">
        <v>373</v>
      </c>
      <c r="N387" s="275">
        <v>313</v>
      </c>
      <c r="O387" s="275">
        <v>3456</v>
      </c>
      <c r="P387" s="275">
        <v>528</v>
      </c>
      <c r="Q387" s="275">
        <v>1981</v>
      </c>
      <c r="R387" s="275">
        <v>1702</v>
      </c>
      <c r="S387" s="275">
        <v>5633</v>
      </c>
      <c r="T387" s="275">
        <v>1379</v>
      </c>
      <c r="U387" s="275">
        <v>36923</v>
      </c>
      <c r="V387" s="276">
        <v>-216</v>
      </c>
      <c r="W387" s="277">
        <v>36707</v>
      </c>
      <c r="X387" s="275">
        <v>789</v>
      </c>
      <c r="Y387" s="275">
        <v>6665</v>
      </c>
      <c r="Z387" s="276">
        <v>29469</v>
      </c>
      <c r="AA387" s="285">
        <v>6318</v>
      </c>
      <c r="AB387" s="295">
        <v>36511.14204067328</v>
      </c>
    </row>
    <row r="388" spans="1:28" ht="13.5" customHeight="1">
      <c r="A388" s="20">
        <v>20</v>
      </c>
      <c r="B388" s="21" t="s">
        <v>25</v>
      </c>
      <c r="C388" s="278">
        <v>1952</v>
      </c>
      <c r="D388" s="279">
        <v>2</v>
      </c>
      <c r="E388" s="279">
        <v>116</v>
      </c>
      <c r="F388" s="279">
        <v>33</v>
      </c>
      <c r="G388" s="279">
        <v>498</v>
      </c>
      <c r="H388" s="279">
        <v>334</v>
      </c>
      <c r="I388" s="279">
        <v>1893</v>
      </c>
      <c r="J388" s="279">
        <v>676</v>
      </c>
      <c r="K388" s="279">
        <v>680</v>
      </c>
      <c r="L388" s="279">
        <v>657</v>
      </c>
      <c r="M388" s="279">
        <v>31</v>
      </c>
      <c r="N388" s="279">
        <v>17</v>
      </c>
      <c r="O388" s="279">
        <v>1130</v>
      </c>
      <c r="P388" s="279">
        <v>244</v>
      </c>
      <c r="Q388" s="279">
        <v>1342</v>
      </c>
      <c r="R388" s="279">
        <v>601</v>
      </c>
      <c r="S388" s="279">
        <v>943</v>
      </c>
      <c r="T388" s="279">
        <v>712</v>
      </c>
      <c r="U388" s="279">
        <v>11861</v>
      </c>
      <c r="V388" s="280">
        <v>-69</v>
      </c>
      <c r="W388" s="281">
        <v>11792</v>
      </c>
      <c r="X388" s="279">
        <v>2070</v>
      </c>
      <c r="Y388" s="279">
        <v>2424</v>
      </c>
      <c r="Z388" s="280">
        <v>7367</v>
      </c>
      <c r="AA388" s="286">
        <v>4030</v>
      </c>
      <c r="AB388" s="296">
        <v>11345.360835698062</v>
      </c>
    </row>
    <row r="389" spans="1:28" ht="13.5" customHeight="1">
      <c r="A389" s="18">
        <v>21</v>
      </c>
      <c r="B389" s="19" t="s">
        <v>26</v>
      </c>
      <c r="C389" s="270">
        <v>976</v>
      </c>
      <c r="D389" s="271">
        <v>2</v>
      </c>
      <c r="E389" s="271">
        <v>120</v>
      </c>
      <c r="F389" s="271">
        <v>182</v>
      </c>
      <c r="G389" s="271">
        <v>6526</v>
      </c>
      <c r="H389" s="271">
        <v>2271</v>
      </c>
      <c r="I389" s="271">
        <v>9600</v>
      </c>
      <c r="J389" s="271">
        <v>3738</v>
      </c>
      <c r="K389" s="271">
        <v>867</v>
      </c>
      <c r="L389" s="271">
        <v>4203</v>
      </c>
      <c r="M389" s="271">
        <v>59</v>
      </c>
      <c r="N389" s="271">
        <v>710</v>
      </c>
      <c r="O389" s="271">
        <v>14396</v>
      </c>
      <c r="P389" s="271">
        <v>2178</v>
      </c>
      <c r="Q389" s="271">
        <v>3394</v>
      </c>
      <c r="R389" s="271">
        <v>3928</v>
      </c>
      <c r="S389" s="271">
        <v>5491</v>
      </c>
      <c r="T389" s="271">
        <v>5793</v>
      </c>
      <c r="U389" s="271">
        <v>64434</v>
      </c>
      <c r="V389" s="272">
        <v>-377</v>
      </c>
      <c r="W389" s="273">
        <v>64057</v>
      </c>
      <c r="X389" s="271">
        <v>1098</v>
      </c>
      <c r="Y389" s="271">
        <v>16308</v>
      </c>
      <c r="Z389" s="272">
        <v>47028</v>
      </c>
      <c r="AA389" s="284">
        <v>4841</v>
      </c>
      <c r="AB389" s="294">
        <v>63242.682725102073</v>
      </c>
    </row>
    <row r="390" spans="1:28" ht="13.5" customHeight="1">
      <c r="A390" s="18">
        <v>22</v>
      </c>
      <c r="B390" s="19" t="s">
        <v>27</v>
      </c>
      <c r="C390" s="274">
        <v>46</v>
      </c>
      <c r="D390" s="275">
        <v>0</v>
      </c>
      <c r="E390" s="275">
        <v>7</v>
      </c>
      <c r="F390" s="275">
        <v>0</v>
      </c>
      <c r="G390" s="275">
        <v>881</v>
      </c>
      <c r="H390" s="275">
        <v>849</v>
      </c>
      <c r="I390" s="275">
        <v>3492</v>
      </c>
      <c r="J390" s="275">
        <v>1692</v>
      </c>
      <c r="K390" s="275">
        <v>443</v>
      </c>
      <c r="L390" s="275">
        <v>959</v>
      </c>
      <c r="M390" s="275">
        <v>675</v>
      </c>
      <c r="N390" s="275">
        <v>1626</v>
      </c>
      <c r="O390" s="275">
        <v>4239</v>
      </c>
      <c r="P390" s="275">
        <v>3017</v>
      </c>
      <c r="Q390" s="275">
        <v>11613</v>
      </c>
      <c r="R390" s="275">
        <v>1857</v>
      </c>
      <c r="S390" s="275">
        <v>4166</v>
      </c>
      <c r="T390" s="275">
        <v>1975</v>
      </c>
      <c r="U390" s="275">
        <v>37537</v>
      </c>
      <c r="V390" s="276">
        <v>-220</v>
      </c>
      <c r="W390" s="277">
        <v>37317</v>
      </c>
      <c r="X390" s="275">
        <v>53</v>
      </c>
      <c r="Y390" s="275">
        <v>4373</v>
      </c>
      <c r="Z390" s="276">
        <v>33111</v>
      </c>
      <c r="AA390" s="285">
        <v>4829</v>
      </c>
      <c r="AB390" s="295">
        <v>36756.022842510094</v>
      </c>
    </row>
    <row r="391" spans="1:28" ht="13.5" customHeight="1">
      <c r="A391" s="18">
        <v>23</v>
      </c>
      <c r="B391" s="19" t="s">
        <v>28</v>
      </c>
      <c r="C391" s="274">
        <v>1</v>
      </c>
      <c r="D391" s="275">
        <v>2</v>
      </c>
      <c r="E391" s="275">
        <v>75</v>
      </c>
      <c r="F391" s="275">
        <v>11</v>
      </c>
      <c r="G391" s="275">
        <v>520</v>
      </c>
      <c r="H391" s="275">
        <v>6053</v>
      </c>
      <c r="I391" s="275">
        <v>10813</v>
      </c>
      <c r="J391" s="275">
        <v>8443</v>
      </c>
      <c r="K391" s="275">
        <v>814</v>
      </c>
      <c r="L391" s="275">
        <v>8437</v>
      </c>
      <c r="M391" s="275">
        <v>5014</v>
      </c>
      <c r="N391" s="275">
        <v>2583</v>
      </c>
      <c r="O391" s="275">
        <v>15613</v>
      </c>
      <c r="P391" s="275">
        <v>7480</v>
      </c>
      <c r="Q391" s="275">
        <v>2954</v>
      </c>
      <c r="R391" s="275">
        <v>3102</v>
      </c>
      <c r="S391" s="275">
        <v>6332</v>
      </c>
      <c r="T391" s="275">
        <v>6724</v>
      </c>
      <c r="U391" s="275">
        <v>84971</v>
      </c>
      <c r="V391" s="276">
        <v>-497</v>
      </c>
      <c r="W391" s="277">
        <v>84474</v>
      </c>
      <c r="X391" s="275">
        <v>78</v>
      </c>
      <c r="Y391" s="275">
        <v>11344</v>
      </c>
      <c r="Z391" s="276">
        <v>73549</v>
      </c>
      <c r="AA391" s="285">
        <v>5815</v>
      </c>
      <c r="AB391" s="295">
        <v>83357.471890787681</v>
      </c>
    </row>
    <row r="392" spans="1:28" ht="13.5" customHeight="1">
      <c r="A392" s="18">
        <v>24</v>
      </c>
      <c r="B392" s="19" t="s">
        <v>29</v>
      </c>
      <c r="C392" s="274">
        <v>41</v>
      </c>
      <c r="D392" s="275">
        <v>1</v>
      </c>
      <c r="E392" s="275">
        <v>91</v>
      </c>
      <c r="F392" s="275">
        <v>17</v>
      </c>
      <c r="G392" s="275">
        <v>319</v>
      </c>
      <c r="H392" s="275">
        <v>929</v>
      </c>
      <c r="I392" s="275">
        <v>9996</v>
      </c>
      <c r="J392" s="275">
        <v>2558</v>
      </c>
      <c r="K392" s="275">
        <v>1346</v>
      </c>
      <c r="L392" s="275">
        <v>3844</v>
      </c>
      <c r="M392" s="275">
        <v>136</v>
      </c>
      <c r="N392" s="275">
        <v>594</v>
      </c>
      <c r="O392" s="275">
        <v>6564</v>
      </c>
      <c r="P392" s="275">
        <v>1550</v>
      </c>
      <c r="Q392" s="275">
        <v>1689</v>
      </c>
      <c r="R392" s="275">
        <v>3845</v>
      </c>
      <c r="S392" s="275">
        <v>8836</v>
      </c>
      <c r="T392" s="275">
        <v>2824</v>
      </c>
      <c r="U392" s="275">
        <v>45180</v>
      </c>
      <c r="V392" s="276">
        <v>-265</v>
      </c>
      <c r="W392" s="277">
        <v>44915</v>
      </c>
      <c r="X392" s="275">
        <v>133</v>
      </c>
      <c r="Y392" s="275">
        <v>10332</v>
      </c>
      <c r="Z392" s="276">
        <v>34715</v>
      </c>
      <c r="AA392" s="285">
        <v>5613</v>
      </c>
      <c r="AB392" s="295">
        <v>44186.026887493834</v>
      </c>
    </row>
    <row r="393" spans="1:28" ht="13.5" customHeight="1">
      <c r="A393" s="18">
        <v>25</v>
      </c>
      <c r="B393" s="19" t="s">
        <v>30</v>
      </c>
      <c r="C393" s="274">
        <v>192</v>
      </c>
      <c r="D393" s="275">
        <v>0</v>
      </c>
      <c r="E393" s="275">
        <v>17</v>
      </c>
      <c r="F393" s="275">
        <v>226</v>
      </c>
      <c r="G393" s="275">
        <v>6026</v>
      </c>
      <c r="H393" s="275">
        <v>12612</v>
      </c>
      <c r="I393" s="275">
        <v>6041</v>
      </c>
      <c r="J393" s="275">
        <v>3364</v>
      </c>
      <c r="K393" s="275">
        <v>1416</v>
      </c>
      <c r="L393" s="275">
        <v>872</v>
      </c>
      <c r="M393" s="275">
        <v>879</v>
      </c>
      <c r="N393" s="275">
        <v>368</v>
      </c>
      <c r="O393" s="275">
        <v>6933</v>
      </c>
      <c r="P393" s="275">
        <v>1975</v>
      </c>
      <c r="Q393" s="275">
        <v>1717</v>
      </c>
      <c r="R393" s="275">
        <v>1724</v>
      </c>
      <c r="S393" s="275">
        <v>9970</v>
      </c>
      <c r="T393" s="275">
        <v>3750</v>
      </c>
      <c r="U393" s="275">
        <v>58082</v>
      </c>
      <c r="V393" s="276">
        <v>-339</v>
      </c>
      <c r="W393" s="277">
        <v>57743</v>
      </c>
      <c r="X393" s="275">
        <v>209</v>
      </c>
      <c r="Y393" s="275">
        <v>12293</v>
      </c>
      <c r="Z393" s="276">
        <v>45580</v>
      </c>
      <c r="AA393" s="285">
        <v>6540</v>
      </c>
      <c r="AB393" s="295">
        <v>57585.426449881415</v>
      </c>
    </row>
    <row r="394" spans="1:28" ht="13.5" customHeight="1">
      <c r="A394" s="20">
        <v>26</v>
      </c>
      <c r="B394" s="21" t="s">
        <v>31</v>
      </c>
      <c r="C394" s="278">
        <v>203</v>
      </c>
      <c r="D394" s="279">
        <v>2</v>
      </c>
      <c r="E394" s="279">
        <v>115</v>
      </c>
      <c r="F394" s="279">
        <v>33</v>
      </c>
      <c r="G394" s="279">
        <v>20015</v>
      </c>
      <c r="H394" s="279">
        <v>5220</v>
      </c>
      <c r="I394" s="279">
        <v>6396</v>
      </c>
      <c r="J394" s="279">
        <v>14062</v>
      </c>
      <c r="K394" s="279">
        <v>6457</v>
      </c>
      <c r="L394" s="279">
        <v>1991</v>
      </c>
      <c r="M394" s="279">
        <v>446</v>
      </c>
      <c r="N394" s="279">
        <v>1698</v>
      </c>
      <c r="O394" s="279">
        <v>9721</v>
      </c>
      <c r="P394" s="279">
        <v>4747</v>
      </c>
      <c r="Q394" s="279">
        <v>2606</v>
      </c>
      <c r="R394" s="279">
        <v>21107</v>
      </c>
      <c r="S394" s="279">
        <v>17587</v>
      </c>
      <c r="T394" s="279">
        <v>5138</v>
      </c>
      <c r="U394" s="279">
        <v>117544</v>
      </c>
      <c r="V394" s="280">
        <v>-688</v>
      </c>
      <c r="W394" s="281">
        <v>116856</v>
      </c>
      <c r="X394" s="279">
        <v>320</v>
      </c>
      <c r="Y394" s="279">
        <v>26444</v>
      </c>
      <c r="Z394" s="280">
        <v>90780</v>
      </c>
      <c r="AA394" s="286">
        <v>5315</v>
      </c>
      <c r="AB394" s="296">
        <v>115512.14487910715</v>
      </c>
    </row>
    <row r="395" spans="1:28" ht="13.5" customHeight="1">
      <c r="A395" s="18">
        <v>27</v>
      </c>
      <c r="B395" s="19" t="s">
        <v>32</v>
      </c>
      <c r="C395" s="270">
        <v>156</v>
      </c>
      <c r="D395" s="271">
        <v>0</v>
      </c>
      <c r="E395" s="271">
        <v>200</v>
      </c>
      <c r="F395" s="271">
        <v>17</v>
      </c>
      <c r="G395" s="271">
        <v>595</v>
      </c>
      <c r="H395" s="271">
        <v>797</v>
      </c>
      <c r="I395" s="271">
        <v>4468</v>
      </c>
      <c r="J395" s="271">
        <v>4779</v>
      </c>
      <c r="K395" s="271">
        <v>677</v>
      </c>
      <c r="L395" s="271">
        <v>1638</v>
      </c>
      <c r="M395" s="271">
        <v>137</v>
      </c>
      <c r="N395" s="271">
        <v>1132</v>
      </c>
      <c r="O395" s="271">
        <v>6546</v>
      </c>
      <c r="P395" s="271">
        <v>1208</v>
      </c>
      <c r="Q395" s="271">
        <v>3078</v>
      </c>
      <c r="R395" s="271">
        <v>3931</v>
      </c>
      <c r="S395" s="271">
        <v>6189</v>
      </c>
      <c r="T395" s="271">
        <v>2234</v>
      </c>
      <c r="U395" s="271">
        <v>37782</v>
      </c>
      <c r="V395" s="272">
        <v>-221</v>
      </c>
      <c r="W395" s="273">
        <v>37561</v>
      </c>
      <c r="X395" s="271">
        <v>356</v>
      </c>
      <c r="Y395" s="271">
        <v>5080</v>
      </c>
      <c r="Z395" s="272">
        <v>32346</v>
      </c>
      <c r="AA395" s="284">
        <v>5250</v>
      </c>
      <c r="AB395" s="294">
        <v>37033.263042311526</v>
      </c>
    </row>
    <row r="396" spans="1:28" ht="13.5" customHeight="1">
      <c r="A396" s="18">
        <v>28</v>
      </c>
      <c r="B396" s="19" t="s">
        <v>33</v>
      </c>
      <c r="C396" s="274">
        <v>847</v>
      </c>
      <c r="D396" s="275">
        <v>6</v>
      </c>
      <c r="E396" s="275">
        <v>0</v>
      </c>
      <c r="F396" s="275">
        <v>61</v>
      </c>
      <c r="G396" s="275">
        <v>4336</v>
      </c>
      <c r="H396" s="275">
        <v>2926</v>
      </c>
      <c r="I396" s="275">
        <v>11986</v>
      </c>
      <c r="J396" s="275">
        <v>12880</v>
      </c>
      <c r="K396" s="275">
        <v>3527</v>
      </c>
      <c r="L396" s="275">
        <v>3290</v>
      </c>
      <c r="M396" s="275">
        <v>421</v>
      </c>
      <c r="N396" s="275">
        <v>1770</v>
      </c>
      <c r="O396" s="275">
        <v>12451</v>
      </c>
      <c r="P396" s="275">
        <v>4387</v>
      </c>
      <c r="Q396" s="275">
        <v>3002</v>
      </c>
      <c r="R396" s="275">
        <v>5447</v>
      </c>
      <c r="S396" s="275">
        <v>25401</v>
      </c>
      <c r="T396" s="275">
        <v>6471</v>
      </c>
      <c r="U396" s="275">
        <v>99209</v>
      </c>
      <c r="V396" s="276">
        <v>-580</v>
      </c>
      <c r="W396" s="277">
        <v>98629</v>
      </c>
      <c r="X396" s="275">
        <v>853</v>
      </c>
      <c r="Y396" s="275">
        <v>16383</v>
      </c>
      <c r="Z396" s="276">
        <v>81973</v>
      </c>
      <c r="AA396" s="285">
        <v>5172</v>
      </c>
      <c r="AB396" s="295">
        <v>97212.09301907495</v>
      </c>
    </row>
    <row r="397" spans="1:28" ht="13.5" customHeight="1">
      <c r="A397" s="18">
        <v>29</v>
      </c>
      <c r="B397" s="19" t="s">
        <v>34</v>
      </c>
      <c r="C397" s="274">
        <v>2</v>
      </c>
      <c r="D397" s="275">
        <v>3</v>
      </c>
      <c r="E397" s="275">
        <v>23</v>
      </c>
      <c r="F397" s="275">
        <v>0</v>
      </c>
      <c r="G397" s="275">
        <v>13</v>
      </c>
      <c r="H397" s="275">
        <v>116</v>
      </c>
      <c r="I397" s="275">
        <v>244</v>
      </c>
      <c r="J397" s="275">
        <v>28</v>
      </c>
      <c r="K397" s="275">
        <v>164</v>
      </c>
      <c r="L397" s="275">
        <v>477</v>
      </c>
      <c r="M397" s="275">
        <v>3</v>
      </c>
      <c r="N397" s="275">
        <v>4</v>
      </c>
      <c r="O397" s="275">
        <v>99</v>
      </c>
      <c r="P397" s="275">
        <v>111</v>
      </c>
      <c r="Q397" s="275">
        <v>477</v>
      </c>
      <c r="R397" s="275">
        <v>337</v>
      </c>
      <c r="S397" s="275">
        <v>175</v>
      </c>
      <c r="T397" s="275">
        <v>555</v>
      </c>
      <c r="U397" s="275">
        <v>2831</v>
      </c>
      <c r="V397" s="276">
        <v>-16</v>
      </c>
      <c r="W397" s="277">
        <v>2815</v>
      </c>
      <c r="X397" s="275">
        <v>28</v>
      </c>
      <c r="Y397" s="275">
        <v>257</v>
      </c>
      <c r="Z397" s="276">
        <v>2546</v>
      </c>
      <c r="AA397" s="285">
        <v>4796</v>
      </c>
      <c r="AB397" s="295">
        <v>2751.8656528649103</v>
      </c>
    </row>
    <row r="398" spans="1:28" ht="13.5" customHeight="1">
      <c r="A398" s="18">
        <v>30</v>
      </c>
      <c r="B398" s="19" t="s">
        <v>35</v>
      </c>
      <c r="C398" s="274">
        <v>1</v>
      </c>
      <c r="D398" s="275">
        <v>0</v>
      </c>
      <c r="E398" s="275">
        <v>39</v>
      </c>
      <c r="F398" s="275">
        <v>0</v>
      </c>
      <c r="G398" s="275">
        <v>32</v>
      </c>
      <c r="H398" s="275">
        <v>214</v>
      </c>
      <c r="I398" s="275">
        <v>1416</v>
      </c>
      <c r="J398" s="275">
        <v>97</v>
      </c>
      <c r="K398" s="275">
        <v>206</v>
      </c>
      <c r="L398" s="275">
        <v>843</v>
      </c>
      <c r="M398" s="275">
        <v>0</v>
      </c>
      <c r="N398" s="275">
        <v>7</v>
      </c>
      <c r="O398" s="275">
        <v>180</v>
      </c>
      <c r="P398" s="275">
        <v>193</v>
      </c>
      <c r="Q398" s="275">
        <v>420</v>
      </c>
      <c r="R398" s="275">
        <v>544</v>
      </c>
      <c r="S398" s="275">
        <v>205</v>
      </c>
      <c r="T398" s="275">
        <v>819</v>
      </c>
      <c r="U398" s="275">
        <v>5216</v>
      </c>
      <c r="V398" s="276">
        <v>-30</v>
      </c>
      <c r="W398" s="277">
        <v>5186</v>
      </c>
      <c r="X398" s="275">
        <v>40</v>
      </c>
      <c r="Y398" s="275">
        <v>1448</v>
      </c>
      <c r="Z398" s="276">
        <v>3728</v>
      </c>
      <c r="AA398" s="285">
        <v>6869</v>
      </c>
      <c r="AB398" s="295">
        <v>5053.907919223444</v>
      </c>
    </row>
    <row r="399" spans="1:28" ht="13.5" customHeight="1">
      <c r="A399" s="18">
        <v>31</v>
      </c>
      <c r="B399" s="19" t="s">
        <v>36</v>
      </c>
      <c r="C399" s="274">
        <v>69</v>
      </c>
      <c r="D399" s="275">
        <v>0</v>
      </c>
      <c r="E399" s="275">
        <v>11</v>
      </c>
      <c r="F399" s="275">
        <v>11</v>
      </c>
      <c r="G399" s="275">
        <v>157</v>
      </c>
      <c r="H399" s="275">
        <v>72</v>
      </c>
      <c r="I399" s="275">
        <v>498</v>
      </c>
      <c r="J399" s="275">
        <v>26</v>
      </c>
      <c r="K399" s="275">
        <v>128</v>
      </c>
      <c r="L399" s="275">
        <v>105</v>
      </c>
      <c r="M399" s="275">
        <v>0</v>
      </c>
      <c r="N399" s="275">
        <v>3</v>
      </c>
      <c r="O399" s="275">
        <v>213</v>
      </c>
      <c r="P399" s="275">
        <v>0</v>
      </c>
      <c r="Q399" s="275">
        <v>454</v>
      </c>
      <c r="R399" s="275">
        <v>261</v>
      </c>
      <c r="S399" s="275">
        <v>396</v>
      </c>
      <c r="T399" s="275">
        <v>86</v>
      </c>
      <c r="U399" s="275">
        <v>2490</v>
      </c>
      <c r="V399" s="276">
        <v>-15</v>
      </c>
      <c r="W399" s="277">
        <v>2475</v>
      </c>
      <c r="X399" s="275">
        <v>80</v>
      </c>
      <c r="Y399" s="275">
        <v>666</v>
      </c>
      <c r="Z399" s="276">
        <v>1744</v>
      </c>
      <c r="AA399" s="285">
        <v>5476</v>
      </c>
      <c r="AB399" s="295">
        <v>2430.2901280792962</v>
      </c>
    </row>
    <row r="400" spans="1:28" ht="13.5" customHeight="1">
      <c r="A400" s="18">
        <v>32</v>
      </c>
      <c r="B400" s="19" t="s">
        <v>37</v>
      </c>
      <c r="C400" s="274">
        <v>1</v>
      </c>
      <c r="D400" s="275">
        <v>0</v>
      </c>
      <c r="E400" s="275">
        <v>91</v>
      </c>
      <c r="F400" s="275">
        <v>0</v>
      </c>
      <c r="G400" s="275">
        <v>1</v>
      </c>
      <c r="H400" s="275">
        <v>18</v>
      </c>
      <c r="I400" s="275">
        <v>663</v>
      </c>
      <c r="J400" s="275">
        <v>16</v>
      </c>
      <c r="K400" s="275">
        <v>33</v>
      </c>
      <c r="L400" s="275">
        <v>48</v>
      </c>
      <c r="M400" s="275">
        <v>0</v>
      </c>
      <c r="N400" s="275">
        <v>8</v>
      </c>
      <c r="O400" s="275">
        <v>56</v>
      </c>
      <c r="P400" s="275">
        <v>0</v>
      </c>
      <c r="Q400" s="275">
        <v>288</v>
      </c>
      <c r="R400" s="275">
        <v>185</v>
      </c>
      <c r="S400" s="275">
        <v>131</v>
      </c>
      <c r="T400" s="275">
        <v>17</v>
      </c>
      <c r="U400" s="275">
        <v>1556</v>
      </c>
      <c r="V400" s="276">
        <v>-9</v>
      </c>
      <c r="W400" s="277">
        <v>1547</v>
      </c>
      <c r="X400" s="275">
        <v>92</v>
      </c>
      <c r="Y400" s="275">
        <v>664</v>
      </c>
      <c r="Z400" s="276">
        <v>800</v>
      </c>
      <c r="AA400" s="285">
        <v>5280</v>
      </c>
      <c r="AB400" s="295">
        <v>1511.0184701977923</v>
      </c>
    </row>
    <row r="401" spans="1:28" ht="13.5" customHeight="1">
      <c r="A401" s="18">
        <v>33</v>
      </c>
      <c r="B401" s="19" t="s">
        <v>38</v>
      </c>
      <c r="C401" s="274">
        <v>1072</v>
      </c>
      <c r="D401" s="275">
        <v>3</v>
      </c>
      <c r="E401" s="275">
        <v>44</v>
      </c>
      <c r="F401" s="275">
        <v>110</v>
      </c>
      <c r="G401" s="275">
        <v>1525</v>
      </c>
      <c r="H401" s="275">
        <v>216</v>
      </c>
      <c r="I401" s="275">
        <v>2189</v>
      </c>
      <c r="J401" s="275">
        <v>231</v>
      </c>
      <c r="K401" s="275">
        <v>102</v>
      </c>
      <c r="L401" s="275">
        <v>178</v>
      </c>
      <c r="M401" s="275">
        <v>0</v>
      </c>
      <c r="N401" s="275">
        <v>4</v>
      </c>
      <c r="O401" s="275">
        <v>107</v>
      </c>
      <c r="P401" s="275">
        <v>49</v>
      </c>
      <c r="Q401" s="275">
        <v>798</v>
      </c>
      <c r="R401" s="275">
        <v>322</v>
      </c>
      <c r="S401" s="275">
        <v>191</v>
      </c>
      <c r="T401" s="275">
        <v>140</v>
      </c>
      <c r="U401" s="275">
        <v>7281</v>
      </c>
      <c r="V401" s="276">
        <v>-42</v>
      </c>
      <c r="W401" s="277">
        <v>7239</v>
      </c>
      <c r="X401" s="275">
        <v>1119</v>
      </c>
      <c r="Y401" s="275">
        <v>3824</v>
      </c>
      <c r="Z401" s="276">
        <v>2338</v>
      </c>
      <c r="AA401" s="285">
        <v>6435</v>
      </c>
      <c r="AB401" s="295">
        <v>6969.585718532644</v>
      </c>
    </row>
    <row r="402" spans="1:28" ht="13.5" customHeight="1">
      <c r="A402" s="18">
        <v>34</v>
      </c>
      <c r="B402" s="19" t="s">
        <v>39</v>
      </c>
      <c r="C402" s="274">
        <v>332</v>
      </c>
      <c r="D402" s="275">
        <v>0</v>
      </c>
      <c r="E402" s="275">
        <v>15</v>
      </c>
      <c r="F402" s="275">
        <v>0</v>
      </c>
      <c r="G402" s="275">
        <v>477</v>
      </c>
      <c r="H402" s="275">
        <v>77</v>
      </c>
      <c r="I402" s="275">
        <v>1331</v>
      </c>
      <c r="J402" s="275">
        <v>58</v>
      </c>
      <c r="K402" s="275">
        <v>114</v>
      </c>
      <c r="L402" s="275">
        <v>216</v>
      </c>
      <c r="M402" s="275">
        <v>0</v>
      </c>
      <c r="N402" s="275">
        <v>10</v>
      </c>
      <c r="O402" s="275">
        <v>30</v>
      </c>
      <c r="P402" s="275">
        <v>31</v>
      </c>
      <c r="Q402" s="275">
        <v>402</v>
      </c>
      <c r="R402" s="275">
        <v>244</v>
      </c>
      <c r="S402" s="275">
        <v>154</v>
      </c>
      <c r="T402" s="275">
        <v>57</v>
      </c>
      <c r="U402" s="275">
        <v>3548</v>
      </c>
      <c r="V402" s="276">
        <v>-21</v>
      </c>
      <c r="W402" s="277">
        <v>3527</v>
      </c>
      <c r="X402" s="275">
        <v>347</v>
      </c>
      <c r="Y402" s="275">
        <v>1808</v>
      </c>
      <c r="Z402" s="276">
        <v>1393</v>
      </c>
      <c r="AA402" s="285">
        <v>6113</v>
      </c>
      <c r="AB402" s="295">
        <v>3428.5492678493029</v>
      </c>
    </row>
    <row r="403" spans="1:28" ht="13.5" customHeight="1">
      <c r="A403" s="18">
        <v>35</v>
      </c>
      <c r="B403" s="19" t="s">
        <v>40</v>
      </c>
      <c r="C403" s="274">
        <v>146</v>
      </c>
      <c r="D403" s="275">
        <v>4</v>
      </c>
      <c r="E403" s="275">
        <v>113</v>
      </c>
      <c r="F403" s="275">
        <v>17</v>
      </c>
      <c r="G403" s="275">
        <v>297</v>
      </c>
      <c r="H403" s="275">
        <v>121</v>
      </c>
      <c r="I403" s="275">
        <v>1373</v>
      </c>
      <c r="J403" s="275">
        <v>217</v>
      </c>
      <c r="K403" s="275">
        <v>207</v>
      </c>
      <c r="L403" s="275">
        <v>135</v>
      </c>
      <c r="M403" s="275">
        <v>0</v>
      </c>
      <c r="N403" s="275">
        <v>15</v>
      </c>
      <c r="O403" s="275">
        <v>140</v>
      </c>
      <c r="P403" s="275">
        <v>92</v>
      </c>
      <c r="Q403" s="275">
        <v>668</v>
      </c>
      <c r="R403" s="275">
        <v>493</v>
      </c>
      <c r="S403" s="275">
        <v>259</v>
      </c>
      <c r="T403" s="275">
        <v>130</v>
      </c>
      <c r="U403" s="275">
        <v>4427</v>
      </c>
      <c r="V403" s="276">
        <v>-26</v>
      </c>
      <c r="W403" s="277">
        <v>4401</v>
      </c>
      <c r="X403" s="275">
        <v>263</v>
      </c>
      <c r="Y403" s="275">
        <v>1687</v>
      </c>
      <c r="Z403" s="276">
        <v>2477</v>
      </c>
      <c r="AA403" s="285">
        <v>5290</v>
      </c>
      <c r="AB403" s="295">
        <v>4290.302826416485</v>
      </c>
    </row>
    <row r="404" spans="1:28" ht="13.5" customHeight="1">
      <c r="A404" s="18">
        <v>36</v>
      </c>
      <c r="B404" s="19" t="s">
        <v>41</v>
      </c>
      <c r="C404" s="274">
        <v>370</v>
      </c>
      <c r="D404" s="275">
        <v>0</v>
      </c>
      <c r="E404" s="275">
        <v>163</v>
      </c>
      <c r="F404" s="275">
        <v>0</v>
      </c>
      <c r="G404" s="275">
        <v>259</v>
      </c>
      <c r="H404" s="275">
        <v>13</v>
      </c>
      <c r="I404" s="275">
        <v>856</v>
      </c>
      <c r="J404" s="275">
        <v>165</v>
      </c>
      <c r="K404" s="275">
        <v>379</v>
      </c>
      <c r="L404" s="275">
        <v>197</v>
      </c>
      <c r="M404" s="275">
        <v>0</v>
      </c>
      <c r="N404" s="275">
        <v>8</v>
      </c>
      <c r="O404" s="275">
        <v>246</v>
      </c>
      <c r="P404" s="275">
        <v>42</v>
      </c>
      <c r="Q404" s="275">
        <v>681</v>
      </c>
      <c r="R404" s="275">
        <v>329</v>
      </c>
      <c r="S404" s="275">
        <v>372</v>
      </c>
      <c r="T404" s="275">
        <v>130</v>
      </c>
      <c r="U404" s="275">
        <v>4210</v>
      </c>
      <c r="V404" s="276">
        <v>-24</v>
      </c>
      <c r="W404" s="277">
        <v>4186</v>
      </c>
      <c r="X404" s="275">
        <v>533</v>
      </c>
      <c r="Y404" s="275">
        <v>1115</v>
      </c>
      <c r="Z404" s="276">
        <v>2562</v>
      </c>
      <c r="AA404" s="285">
        <v>4416</v>
      </c>
      <c r="AB404" s="295">
        <v>4042.4132538801664</v>
      </c>
    </row>
    <row r="405" spans="1:28" ht="13.5" customHeight="1">
      <c r="A405" s="18">
        <v>37</v>
      </c>
      <c r="B405" s="19" t="s">
        <v>49</v>
      </c>
      <c r="C405" s="274">
        <v>1303</v>
      </c>
      <c r="D405" s="275">
        <v>0</v>
      </c>
      <c r="E405" s="275">
        <v>683</v>
      </c>
      <c r="F405" s="275">
        <v>44</v>
      </c>
      <c r="G405" s="275">
        <v>2747</v>
      </c>
      <c r="H405" s="275">
        <v>1059</v>
      </c>
      <c r="I405" s="275">
        <v>1655</v>
      </c>
      <c r="J405" s="275">
        <v>1259</v>
      </c>
      <c r="K405" s="275">
        <v>947</v>
      </c>
      <c r="L405" s="275">
        <v>1229</v>
      </c>
      <c r="M405" s="275">
        <v>0</v>
      </c>
      <c r="N405" s="275">
        <v>206</v>
      </c>
      <c r="O405" s="275">
        <v>1948</v>
      </c>
      <c r="P405" s="275">
        <v>926</v>
      </c>
      <c r="Q405" s="275">
        <v>4135</v>
      </c>
      <c r="R405" s="275">
        <v>1704</v>
      </c>
      <c r="S405" s="275">
        <v>1955</v>
      </c>
      <c r="T405" s="275">
        <v>1121</v>
      </c>
      <c r="U405" s="275">
        <v>22921</v>
      </c>
      <c r="V405" s="276">
        <v>-134</v>
      </c>
      <c r="W405" s="277">
        <v>22787</v>
      </c>
      <c r="X405" s="275">
        <v>1986</v>
      </c>
      <c r="Y405" s="275">
        <v>4446</v>
      </c>
      <c r="Z405" s="276">
        <v>16489</v>
      </c>
      <c r="AA405" s="285">
        <v>4810</v>
      </c>
      <c r="AB405" s="295">
        <v>22212.550170251576</v>
      </c>
    </row>
    <row r="406" spans="1:28" ht="13.5" customHeight="1">
      <c r="A406" s="20">
        <v>38</v>
      </c>
      <c r="B406" s="21" t="s">
        <v>50</v>
      </c>
      <c r="C406" s="278">
        <v>2866</v>
      </c>
      <c r="D406" s="279">
        <v>0</v>
      </c>
      <c r="E406" s="279">
        <v>162</v>
      </c>
      <c r="F406" s="279">
        <v>83</v>
      </c>
      <c r="G406" s="279">
        <v>1889</v>
      </c>
      <c r="H406" s="279">
        <v>1861</v>
      </c>
      <c r="I406" s="279">
        <v>5576</v>
      </c>
      <c r="J406" s="279">
        <v>3358</v>
      </c>
      <c r="K406" s="279">
        <v>1713</v>
      </c>
      <c r="L406" s="279">
        <v>1023</v>
      </c>
      <c r="M406" s="279">
        <v>476</v>
      </c>
      <c r="N406" s="279">
        <v>616</v>
      </c>
      <c r="O406" s="279">
        <v>8355</v>
      </c>
      <c r="P406" s="279">
        <v>2507</v>
      </c>
      <c r="Q406" s="279">
        <v>6525</v>
      </c>
      <c r="R406" s="279">
        <v>5964</v>
      </c>
      <c r="S406" s="279">
        <v>11242</v>
      </c>
      <c r="T406" s="279">
        <v>2753</v>
      </c>
      <c r="U406" s="279">
        <v>56969</v>
      </c>
      <c r="V406" s="280">
        <v>-333</v>
      </c>
      <c r="W406" s="281">
        <v>56636</v>
      </c>
      <c r="X406" s="279">
        <v>3028</v>
      </c>
      <c r="Y406" s="279">
        <v>7548</v>
      </c>
      <c r="Z406" s="280">
        <v>46393</v>
      </c>
      <c r="AA406" s="286">
        <v>5039</v>
      </c>
      <c r="AB406" s="296">
        <v>55558.052391361845</v>
      </c>
    </row>
    <row r="407" spans="1:28" ht="13.5" customHeight="1">
      <c r="A407" s="20">
        <v>39</v>
      </c>
      <c r="B407" s="21" t="s">
        <v>42</v>
      </c>
      <c r="C407" s="266">
        <v>793</v>
      </c>
      <c r="D407" s="267">
        <v>0</v>
      </c>
      <c r="E407" s="267">
        <v>2</v>
      </c>
      <c r="F407" s="267">
        <v>0</v>
      </c>
      <c r="G407" s="267">
        <v>617</v>
      </c>
      <c r="H407" s="267">
        <v>85</v>
      </c>
      <c r="I407" s="267">
        <v>731</v>
      </c>
      <c r="J407" s="267">
        <v>118</v>
      </c>
      <c r="K407" s="267">
        <v>173</v>
      </c>
      <c r="L407" s="267">
        <v>108</v>
      </c>
      <c r="M407" s="267">
        <v>0</v>
      </c>
      <c r="N407" s="267">
        <v>11</v>
      </c>
      <c r="O407" s="267">
        <v>207</v>
      </c>
      <c r="P407" s="267">
        <v>60</v>
      </c>
      <c r="Q407" s="267">
        <v>639</v>
      </c>
      <c r="R407" s="267">
        <v>323</v>
      </c>
      <c r="S407" s="267">
        <v>163</v>
      </c>
      <c r="T407" s="267">
        <v>110</v>
      </c>
      <c r="U407" s="267">
        <v>4140</v>
      </c>
      <c r="V407" s="268">
        <v>-25</v>
      </c>
      <c r="W407" s="269">
        <v>4115</v>
      </c>
      <c r="X407" s="267">
        <v>795</v>
      </c>
      <c r="Y407" s="267">
        <v>1348</v>
      </c>
      <c r="Z407" s="268">
        <v>1997</v>
      </c>
      <c r="AA407" s="283">
        <v>5310</v>
      </c>
      <c r="AB407" s="293">
        <v>4008.228066104763</v>
      </c>
    </row>
    <row r="408" spans="1:28" ht="13.5" customHeight="1">
      <c r="A408" s="18">
        <v>40</v>
      </c>
      <c r="B408" s="19" t="s">
        <v>43</v>
      </c>
      <c r="C408" s="270">
        <v>1279</v>
      </c>
      <c r="D408" s="271">
        <v>8</v>
      </c>
      <c r="E408" s="271">
        <v>133</v>
      </c>
      <c r="F408" s="271">
        <v>0</v>
      </c>
      <c r="G408" s="271">
        <v>673</v>
      </c>
      <c r="H408" s="271">
        <v>307</v>
      </c>
      <c r="I408" s="271">
        <v>1978</v>
      </c>
      <c r="J408" s="271">
        <v>371</v>
      </c>
      <c r="K408" s="271">
        <v>1124</v>
      </c>
      <c r="L408" s="271">
        <v>3100</v>
      </c>
      <c r="M408" s="271">
        <v>0</v>
      </c>
      <c r="N408" s="271">
        <v>21</v>
      </c>
      <c r="O408" s="271">
        <v>1006</v>
      </c>
      <c r="P408" s="271">
        <v>912</v>
      </c>
      <c r="Q408" s="271">
        <v>603</v>
      </c>
      <c r="R408" s="271">
        <v>2029</v>
      </c>
      <c r="S408" s="271">
        <v>454</v>
      </c>
      <c r="T408" s="271">
        <v>2080</v>
      </c>
      <c r="U408" s="271">
        <v>16078</v>
      </c>
      <c r="V408" s="272">
        <v>-94</v>
      </c>
      <c r="W408" s="273">
        <v>15984</v>
      </c>
      <c r="X408" s="271">
        <v>1420</v>
      </c>
      <c r="Y408" s="271">
        <v>2651</v>
      </c>
      <c r="Z408" s="272">
        <v>12007</v>
      </c>
      <c r="AA408" s="284">
        <v>5115</v>
      </c>
      <c r="AB408" s="294">
        <v>15464.013335891765</v>
      </c>
    </row>
    <row r="409" spans="1:28" ht="13.5" customHeight="1">
      <c r="A409" s="20">
        <v>41</v>
      </c>
      <c r="B409" s="21" t="s">
        <v>44</v>
      </c>
      <c r="C409" s="278">
        <v>202</v>
      </c>
      <c r="D409" s="279">
        <v>0</v>
      </c>
      <c r="E409" s="279">
        <v>47</v>
      </c>
      <c r="F409" s="279">
        <v>94</v>
      </c>
      <c r="G409" s="279">
        <v>443</v>
      </c>
      <c r="H409" s="279">
        <v>272</v>
      </c>
      <c r="I409" s="279">
        <v>2431</v>
      </c>
      <c r="J409" s="279">
        <v>180</v>
      </c>
      <c r="K409" s="279">
        <v>332</v>
      </c>
      <c r="L409" s="279">
        <v>474</v>
      </c>
      <c r="M409" s="279">
        <v>0</v>
      </c>
      <c r="N409" s="279">
        <v>9</v>
      </c>
      <c r="O409" s="279">
        <v>308</v>
      </c>
      <c r="P409" s="279">
        <v>215</v>
      </c>
      <c r="Q409" s="279">
        <v>2966</v>
      </c>
      <c r="R409" s="279">
        <v>660</v>
      </c>
      <c r="S409" s="279">
        <v>412</v>
      </c>
      <c r="T409" s="279">
        <v>220</v>
      </c>
      <c r="U409" s="279">
        <v>9265</v>
      </c>
      <c r="V409" s="280">
        <v>-54</v>
      </c>
      <c r="W409" s="281">
        <v>9211</v>
      </c>
      <c r="X409" s="279">
        <v>249</v>
      </c>
      <c r="Y409" s="279">
        <v>2968</v>
      </c>
      <c r="Z409" s="280">
        <v>6048</v>
      </c>
      <c r="AA409" s="286">
        <v>5954</v>
      </c>
      <c r="AB409" s="296">
        <v>9008.688203776459</v>
      </c>
    </row>
    <row r="410" spans="1:28" ht="15.75" customHeight="1">
      <c r="A410" s="123" t="s">
        <v>146</v>
      </c>
      <c r="B410" s="7" t="s">
        <v>152</v>
      </c>
      <c r="C410" s="270">
        <v>14542</v>
      </c>
      <c r="D410" s="271">
        <v>181</v>
      </c>
      <c r="E410" s="271">
        <v>2235</v>
      </c>
      <c r="F410" s="271">
        <v>3122</v>
      </c>
      <c r="G410" s="271">
        <v>22187</v>
      </c>
      <c r="H410" s="271">
        <v>21139</v>
      </c>
      <c r="I410" s="271">
        <v>67166</v>
      </c>
      <c r="J410" s="271">
        <v>23467</v>
      </c>
      <c r="K410" s="271">
        <v>16869</v>
      </c>
      <c r="L410" s="271">
        <v>34824</v>
      </c>
      <c r="M410" s="271">
        <v>4119</v>
      </c>
      <c r="N410" s="271">
        <v>5879</v>
      </c>
      <c r="O410" s="271">
        <v>39649</v>
      </c>
      <c r="P410" s="271">
        <v>23150</v>
      </c>
      <c r="Q410" s="271">
        <v>30467</v>
      </c>
      <c r="R410" s="271">
        <v>33655</v>
      </c>
      <c r="S410" s="271">
        <v>51510</v>
      </c>
      <c r="T410" s="271">
        <v>24999</v>
      </c>
      <c r="U410" s="271">
        <v>419160</v>
      </c>
      <c r="V410" s="272">
        <v>-2451</v>
      </c>
      <c r="W410" s="273">
        <v>416709</v>
      </c>
      <c r="X410" s="271">
        <v>16958</v>
      </c>
      <c r="Y410" s="271">
        <v>92475</v>
      </c>
      <c r="Z410" s="272">
        <v>309727</v>
      </c>
      <c r="AA410" s="284">
        <v>5358</v>
      </c>
      <c r="AB410" s="294">
        <v>408021.89305799024</v>
      </c>
    </row>
    <row r="411" spans="1:28" ht="15.75" customHeight="1">
      <c r="A411" s="124" t="s">
        <v>147</v>
      </c>
      <c r="B411" s="17" t="s">
        <v>153</v>
      </c>
      <c r="C411" s="274">
        <v>5017</v>
      </c>
      <c r="D411" s="275">
        <v>13</v>
      </c>
      <c r="E411" s="275">
        <v>2029</v>
      </c>
      <c r="F411" s="275">
        <v>1805</v>
      </c>
      <c r="G411" s="275">
        <v>95743</v>
      </c>
      <c r="H411" s="275">
        <v>84053</v>
      </c>
      <c r="I411" s="275">
        <v>163864</v>
      </c>
      <c r="J411" s="275">
        <v>186785</v>
      </c>
      <c r="K411" s="275">
        <v>61126</v>
      </c>
      <c r="L411" s="275">
        <v>60383</v>
      </c>
      <c r="M411" s="275">
        <v>73838</v>
      </c>
      <c r="N411" s="275">
        <v>38691</v>
      </c>
      <c r="O411" s="275">
        <v>223586</v>
      </c>
      <c r="P411" s="275">
        <v>153776</v>
      </c>
      <c r="Q411" s="275">
        <v>96998</v>
      </c>
      <c r="R411" s="275">
        <v>102477</v>
      </c>
      <c r="S411" s="275">
        <v>204532</v>
      </c>
      <c r="T411" s="275">
        <v>93543</v>
      </c>
      <c r="U411" s="275">
        <v>1648259</v>
      </c>
      <c r="V411" s="276">
        <v>-9644</v>
      </c>
      <c r="W411" s="277">
        <v>1638615</v>
      </c>
      <c r="X411" s="275">
        <v>7059</v>
      </c>
      <c r="Y411" s="275">
        <v>261412</v>
      </c>
      <c r="Z411" s="276">
        <v>1379788</v>
      </c>
      <c r="AA411" s="285">
        <v>6011</v>
      </c>
      <c r="AB411" s="295">
        <v>1620401.0259840356</v>
      </c>
    </row>
    <row r="412" spans="1:28" ht="15.75" customHeight="1">
      <c r="A412" s="124" t="s">
        <v>148</v>
      </c>
      <c r="B412" s="17" t="s">
        <v>154</v>
      </c>
      <c r="C412" s="274">
        <v>14198</v>
      </c>
      <c r="D412" s="275">
        <v>18</v>
      </c>
      <c r="E412" s="275">
        <v>2802</v>
      </c>
      <c r="F412" s="275">
        <v>1430</v>
      </c>
      <c r="G412" s="275">
        <v>45381</v>
      </c>
      <c r="H412" s="275">
        <v>17613</v>
      </c>
      <c r="I412" s="275">
        <v>70550</v>
      </c>
      <c r="J412" s="275">
        <v>54675</v>
      </c>
      <c r="K412" s="275">
        <v>33088</v>
      </c>
      <c r="L412" s="275">
        <v>22214</v>
      </c>
      <c r="M412" s="275">
        <v>8911</v>
      </c>
      <c r="N412" s="275">
        <v>8385</v>
      </c>
      <c r="O412" s="275">
        <v>80271</v>
      </c>
      <c r="P412" s="275">
        <v>38691</v>
      </c>
      <c r="Q412" s="275">
        <v>44040</v>
      </c>
      <c r="R412" s="275">
        <v>39610</v>
      </c>
      <c r="S412" s="275">
        <v>103263</v>
      </c>
      <c r="T412" s="275">
        <v>35170</v>
      </c>
      <c r="U412" s="275">
        <v>620310</v>
      </c>
      <c r="V412" s="276">
        <v>-3627</v>
      </c>
      <c r="W412" s="277">
        <v>616683</v>
      </c>
      <c r="X412" s="275">
        <v>17018</v>
      </c>
      <c r="Y412" s="275">
        <v>117361</v>
      </c>
      <c r="Z412" s="276">
        <v>485931</v>
      </c>
      <c r="AA412" s="285">
        <v>5188</v>
      </c>
      <c r="AB412" s="295">
        <v>606409.24228061084</v>
      </c>
    </row>
    <row r="413" spans="1:28" ht="15.75" customHeight="1">
      <c r="A413" s="124" t="s">
        <v>149</v>
      </c>
      <c r="B413" s="17" t="s">
        <v>155</v>
      </c>
      <c r="C413" s="274">
        <v>282</v>
      </c>
      <c r="D413" s="275">
        <v>36</v>
      </c>
      <c r="E413" s="275">
        <v>2471</v>
      </c>
      <c r="F413" s="275">
        <v>519</v>
      </c>
      <c r="G413" s="275">
        <v>13835</v>
      </c>
      <c r="H413" s="275">
        <v>31109</v>
      </c>
      <c r="I413" s="275">
        <v>91544</v>
      </c>
      <c r="J413" s="275">
        <v>123487</v>
      </c>
      <c r="K413" s="275">
        <v>151606</v>
      </c>
      <c r="L413" s="275">
        <v>59510</v>
      </c>
      <c r="M413" s="275">
        <v>104142</v>
      </c>
      <c r="N413" s="275">
        <v>88004</v>
      </c>
      <c r="O413" s="275">
        <v>141502</v>
      </c>
      <c r="P413" s="275">
        <v>180044</v>
      </c>
      <c r="Q413" s="275">
        <v>201982</v>
      </c>
      <c r="R413" s="275">
        <v>40608</v>
      </c>
      <c r="S413" s="275">
        <v>116753</v>
      </c>
      <c r="T413" s="275">
        <v>57800</v>
      </c>
      <c r="U413" s="275">
        <v>1405234</v>
      </c>
      <c r="V413" s="276">
        <v>-8221</v>
      </c>
      <c r="W413" s="277">
        <v>1397013</v>
      </c>
      <c r="X413" s="275">
        <v>2789</v>
      </c>
      <c r="Y413" s="275">
        <v>105898</v>
      </c>
      <c r="Z413" s="276">
        <v>1296547</v>
      </c>
      <c r="AA413" s="285">
        <v>7375</v>
      </c>
      <c r="AB413" s="295">
        <v>1377657.776283022</v>
      </c>
    </row>
    <row r="414" spans="1:28" ht="15.75" customHeight="1">
      <c r="A414" s="124" t="s">
        <v>150</v>
      </c>
      <c r="B414" s="17" t="s">
        <v>156</v>
      </c>
      <c r="C414" s="274">
        <v>8020</v>
      </c>
      <c r="D414" s="275">
        <v>45</v>
      </c>
      <c r="E414" s="275">
        <v>772</v>
      </c>
      <c r="F414" s="275">
        <v>337</v>
      </c>
      <c r="G414" s="275">
        <v>9275</v>
      </c>
      <c r="H414" s="275">
        <v>6456</v>
      </c>
      <c r="I414" s="275">
        <v>36317</v>
      </c>
      <c r="J414" s="275">
        <v>19293</v>
      </c>
      <c r="K414" s="275">
        <v>10137</v>
      </c>
      <c r="L414" s="275">
        <v>9570</v>
      </c>
      <c r="M414" s="275">
        <v>2019</v>
      </c>
      <c r="N414" s="275">
        <v>2446</v>
      </c>
      <c r="O414" s="275">
        <v>15793</v>
      </c>
      <c r="P414" s="275">
        <v>12806</v>
      </c>
      <c r="Q414" s="275">
        <v>18076</v>
      </c>
      <c r="R414" s="275">
        <v>10358</v>
      </c>
      <c r="S414" s="275">
        <v>20529</v>
      </c>
      <c r="T414" s="275">
        <v>7263</v>
      </c>
      <c r="U414" s="275">
        <v>189512</v>
      </c>
      <c r="V414" s="276">
        <v>-1109</v>
      </c>
      <c r="W414" s="277">
        <v>188403</v>
      </c>
      <c r="X414" s="275">
        <v>8837</v>
      </c>
      <c r="Y414" s="275">
        <v>45929</v>
      </c>
      <c r="Z414" s="276">
        <v>134746</v>
      </c>
      <c r="AA414" s="285">
        <v>6087</v>
      </c>
      <c r="AB414" s="295">
        <v>183915.40314561187</v>
      </c>
    </row>
    <row r="415" spans="1:28" ht="15.75" customHeight="1">
      <c r="A415" s="125" t="s">
        <v>151</v>
      </c>
      <c r="B415" s="117" t="s">
        <v>157</v>
      </c>
      <c r="C415" s="278">
        <v>7004</v>
      </c>
      <c r="D415" s="279">
        <v>29</v>
      </c>
      <c r="E415" s="279">
        <v>979</v>
      </c>
      <c r="F415" s="279">
        <v>386</v>
      </c>
      <c r="G415" s="279">
        <v>6862</v>
      </c>
      <c r="H415" s="279">
        <v>7684</v>
      </c>
      <c r="I415" s="279">
        <v>25787</v>
      </c>
      <c r="J415" s="279">
        <v>12937</v>
      </c>
      <c r="K415" s="279">
        <v>16734</v>
      </c>
      <c r="L415" s="279">
        <v>15769</v>
      </c>
      <c r="M415" s="279">
        <v>1821</v>
      </c>
      <c r="N415" s="279">
        <v>2732</v>
      </c>
      <c r="O415" s="279">
        <v>17725</v>
      </c>
      <c r="P415" s="279">
        <v>16720</v>
      </c>
      <c r="Q415" s="279">
        <v>23683</v>
      </c>
      <c r="R415" s="279">
        <v>11695</v>
      </c>
      <c r="S415" s="279">
        <v>14571</v>
      </c>
      <c r="T415" s="279">
        <v>10184</v>
      </c>
      <c r="U415" s="279">
        <v>193302</v>
      </c>
      <c r="V415" s="280">
        <v>-1131</v>
      </c>
      <c r="W415" s="281">
        <v>192171</v>
      </c>
      <c r="X415" s="279">
        <v>8012</v>
      </c>
      <c r="Y415" s="279">
        <v>33035</v>
      </c>
      <c r="Z415" s="280">
        <v>152255</v>
      </c>
      <c r="AA415" s="286">
        <v>6249</v>
      </c>
      <c r="AB415" s="296">
        <v>187667.1811871102</v>
      </c>
    </row>
    <row r="416" spans="1:28" ht="15.75" customHeight="1">
      <c r="B416" s="25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</row>
    <row r="418" spans="1:28" ht="13.5" customHeight="1">
      <c r="A418" s="50">
        <v>1</v>
      </c>
      <c r="B418" s="51" t="str">
        <f>IF(A418&lt;22,"令和"&amp;A418&amp;"年度","平成"&amp;A418&amp;"年度")</f>
        <v>令和1年度</v>
      </c>
      <c r="C418" s="4" t="s">
        <v>75</v>
      </c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1"/>
      <c r="Y418" s="2"/>
      <c r="Z418" s="58"/>
      <c r="AA418" s="58"/>
      <c r="AB418" s="58"/>
    </row>
    <row r="419" spans="1:28" ht="45" customHeight="1">
      <c r="A419" s="198"/>
      <c r="B419" s="88"/>
      <c r="C419" s="89" t="s">
        <v>51</v>
      </c>
      <c r="D419" s="89" t="s">
        <v>52</v>
      </c>
      <c r="E419" s="89" t="s">
        <v>53</v>
      </c>
      <c r="F419" s="89" t="s">
        <v>54</v>
      </c>
      <c r="G419" s="89" t="s">
        <v>55</v>
      </c>
      <c r="H419" s="89" t="s">
        <v>56</v>
      </c>
      <c r="I419" s="89" t="s">
        <v>57</v>
      </c>
      <c r="J419" s="89" t="s">
        <v>58</v>
      </c>
      <c r="K419" s="89" t="s">
        <v>59</v>
      </c>
      <c r="L419" s="89" t="s">
        <v>60</v>
      </c>
      <c r="M419" s="89" t="s">
        <v>61</v>
      </c>
      <c r="N419" s="89" t="s">
        <v>62</v>
      </c>
      <c r="O419" s="89" t="s">
        <v>63</v>
      </c>
      <c r="P419" s="89" t="s">
        <v>64</v>
      </c>
      <c r="Q419" s="89" t="s">
        <v>65</v>
      </c>
      <c r="R419" s="89" t="s">
        <v>66</v>
      </c>
      <c r="S419" s="89" t="s">
        <v>67</v>
      </c>
      <c r="T419" s="89" t="s">
        <v>68</v>
      </c>
      <c r="U419" s="89" t="s">
        <v>70</v>
      </c>
      <c r="V419" s="90" t="s">
        <v>69</v>
      </c>
      <c r="W419" s="91" t="s">
        <v>71</v>
      </c>
      <c r="X419" s="89" t="s">
        <v>72</v>
      </c>
      <c r="Y419" s="89" t="s">
        <v>73</v>
      </c>
      <c r="Z419" s="89" t="s">
        <v>74</v>
      </c>
      <c r="AA419" s="282" t="s">
        <v>277</v>
      </c>
      <c r="AB419" s="292" t="s">
        <v>278</v>
      </c>
    </row>
    <row r="420" spans="1:28" ht="13.5" customHeight="1">
      <c r="A420" s="165" t="s">
        <v>160</v>
      </c>
      <c r="B420" s="22" t="s">
        <v>0</v>
      </c>
      <c r="C420" s="266">
        <v>46941</v>
      </c>
      <c r="D420" s="267">
        <v>390</v>
      </c>
      <c r="E420" s="267">
        <v>10516</v>
      </c>
      <c r="F420" s="267">
        <v>8128</v>
      </c>
      <c r="G420" s="267">
        <v>189432</v>
      </c>
      <c r="H420" s="267">
        <v>182038</v>
      </c>
      <c r="I420" s="267">
        <v>473538</v>
      </c>
      <c r="J420" s="267">
        <v>410688</v>
      </c>
      <c r="K420" s="267">
        <v>284517</v>
      </c>
      <c r="L420" s="267">
        <v>190780</v>
      </c>
      <c r="M420" s="267">
        <v>180581</v>
      </c>
      <c r="N420" s="267">
        <v>152631</v>
      </c>
      <c r="O420" s="267">
        <v>533583</v>
      </c>
      <c r="P420" s="267">
        <v>416211</v>
      </c>
      <c r="Q420" s="267">
        <v>434076</v>
      </c>
      <c r="R420" s="267">
        <v>241043</v>
      </c>
      <c r="S420" s="267">
        <v>528238</v>
      </c>
      <c r="T420" s="267">
        <v>225206</v>
      </c>
      <c r="U420" s="267">
        <v>4508537</v>
      </c>
      <c r="V420" s="268">
        <v>-33134</v>
      </c>
      <c r="W420" s="269">
        <v>4475403</v>
      </c>
      <c r="X420" s="267">
        <v>57847</v>
      </c>
      <c r="Y420" s="267">
        <v>671098</v>
      </c>
      <c r="Z420" s="268">
        <v>3779592</v>
      </c>
      <c r="AA420" s="283">
        <v>6047</v>
      </c>
      <c r="AB420" s="293">
        <v>4372075</v>
      </c>
    </row>
    <row r="421" spans="1:28" ht="13.5" customHeight="1">
      <c r="A421" s="16" t="s">
        <v>1</v>
      </c>
      <c r="B421" s="17" t="s">
        <v>2</v>
      </c>
      <c r="C421" s="270">
        <v>311</v>
      </c>
      <c r="D421" s="271">
        <v>46</v>
      </c>
      <c r="E421" s="271">
        <v>2230</v>
      </c>
      <c r="F421" s="271">
        <v>559</v>
      </c>
      <c r="G421" s="271">
        <v>11469</v>
      </c>
      <c r="H421" s="271">
        <v>33223</v>
      </c>
      <c r="I421" s="271">
        <v>86858</v>
      </c>
      <c r="J421" s="271">
        <v>120071</v>
      </c>
      <c r="K421" s="271">
        <v>145784</v>
      </c>
      <c r="L421" s="271">
        <v>55554</v>
      </c>
      <c r="M421" s="271">
        <v>97261</v>
      </c>
      <c r="N421" s="271">
        <v>91241</v>
      </c>
      <c r="O421" s="271">
        <v>143798</v>
      </c>
      <c r="P421" s="271">
        <v>176439</v>
      </c>
      <c r="Q421" s="271">
        <v>210205</v>
      </c>
      <c r="R421" s="271">
        <v>41074</v>
      </c>
      <c r="S421" s="271">
        <v>121513</v>
      </c>
      <c r="T421" s="271">
        <v>57217</v>
      </c>
      <c r="U421" s="271">
        <v>1394853</v>
      </c>
      <c r="V421" s="272">
        <v>-10250</v>
      </c>
      <c r="W421" s="273">
        <v>1384603</v>
      </c>
      <c r="X421" s="271">
        <v>2587</v>
      </c>
      <c r="Y421" s="271">
        <v>98886</v>
      </c>
      <c r="Z421" s="272">
        <v>1293380</v>
      </c>
      <c r="AA421" s="284">
        <v>7104</v>
      </c>
      <c r="AB421" s="294">
        <v>1353848.0089540491</v>
      </c>
    </row>
    <row r="422" spans="1:28" ht="13.5" customHeight="1">
      <c r="A422" s="18" t="s">
        <v>3</v>
      </c>
      <c r="B422" s="19" t="s">
        <v>4</v>
      </c>
      <c r="C422" s="274">
        <v>114</v>
      </c>
      <c r="D422" s="275">
        <v>0</v>
      </c>
      <c r="E422" s="275">
        <v>142</v>
      </c>
      <c r="F422" s="275">
        <v>547</v>
      </c>
      <c r="G422" s="275">
        <v>5196</v>
      </c>
      <c r="H422" s="275">
        <v>8011</v>
      </c>
      <c r="I422" s="275">
        <v>21185</v>
      </c>
      <c r="J422" s="275">
        <v>24040</v>
      </c>
      <c r="K422" s="275">
        <v>5382</v>
      </c>
      <c r="L422" s="275">
        <v>7582</v>
      </c>
      <c r="M422" s="275">
        <v>13467</v>
      </c>
      <c r="N422" s="275">
        <v>4965</v>
      </c>
      <c r="O422" s="275">
        <v>36578</v>
      </c>
      <c r="P422" s="275">
        <v>21014</v>
      </c>
      <c r="Q422" s="275">
        <v>9091</v>
      </c>
      <c r="R422" s="275">
        <v>13057</v>
      </c>
      <c r="S422" s="275">
        <v>21234</v>
      </c>
      <c r="T422" s="275">
        <v>12727</v>
      </c>
      <c r="U422" s="275">
        <v>204332</v>
      </c>
      <c r="V422" s="276">
        <v>-1502</v>
      </c>
      <c r="W422" s="277">
        <v>202830</v>
      </c>
      <c r="X422" s="275">
        <v>256</v>
      </c>
      <c r="Y422" s="275">
        <v>26928</v>
      </c>
      <c r="Z422" s="276">
        <v>177148</v>
      </c>
      <c r="AA422" s="285">
        <v>5368</v>
      </c>
      <c r="AB422" s="295">
        <v>198932.70714372385</v>
      </c>
    </row>
    <row r="423" spans="1:28" ht="13.5" customHeight="1">
      <c r="A423" s="18" t="s">
        <v>5</v>
      </c>
      <c r="B423" s="19" t="s">
        <v>6</v>
      </c>
      <c r="C423" s="274">
        <v>5189</v>
      </c>
      <c r="D423" s="275">
        <v>24</v>
      </c>
      <c r="E423" s="275">
        <v>755</v>
      </c>
      <c r="F423" s="275">
        <v>311</v>
      </c>
      <c r="G423" s="275">
        <v>4604</v>
      </c>
      <c r="H423" s="275">
        <v>7520</v>
      </c>
      <c r="I423" s="275">
        <v>25888</v>
      </c>
      <c r="J423" s="275">
        <v>12174</v>
      </c>
      <c r="K423" s="275">
        <v>15280</v>
      </c>
      <c r="L423" s="275">
        <v>11418</v>
      </c>
      <c r="M423" s="275">
        <v>1598</v>
      </c>
      <c r="N423" s="275">
        <v>2755</v>
      </c>
      <c r="O423" s="275">
        <v>16895</v>
      </c>
      <c r="P423" s="275">
        <v>14761</v>
      </c>
      <c r="Q423" s="275">
        <v>20781</v>
      </c>
      <c r="R423" s="275">
        <v>8932</v>
      </c>
      <c r="S423" s="275">
        <v>14129</v>
      </c>
      <c r="T423" s="275">
        <v>7928</v>
      </c>
      <c r="U423" s="275">
        <v>170942</v>
      </c>
      <c r="V423" s="276">
        <v>-1256</v>
      </c>
      <c r="W423" s="277">
        <v>169686</v>
      </c>
      <c r="X423" s="275">
        <v>5968</v>
      </c>
      <c r="Y423" s="275">
        <v>30803</v>
      </c>
      <c r="Z423" s="276">
        <v>134171</v>
      </c>
      <c r="AA423" s="285">
        <v>6577</v>
      </c>
      <c r="AB423" s="295">
        <v>164269.44096853543</v>
      </c>
    </row>
    <row r="424" spans="1:28" ht="13.5" customHeight="1">
      <c r="A424" s="18" t="s">
        <v>7</v>
      </c>
      <c r="B424" s="19" t="s">
        <v>8</v>
      </c>
      <c r="C424" s="274">
        <v>21</v>
      </c>
      <c r="D424" s="275">
        <v>2</v>
      </c>
      <c r="E424" s="275">
        <v>195</v>
      </c>
      <c r="F424" s="275">
        <v>150</v>
      </c>
      <c r="G424" s="275">
        <v>20580</v>
      </c>
      <c r="H424" s="275">
        <v>16398</v>
      </c>
      <c r="I424" s="275">
        <v>23837</v>
      </c>
      <c r="J424" s="275">
        <v>77613</v>
      </c>
      <c r="K424" s="275">
        <v>23145</v>
      </c>
      <c r="L424" s="275">
        <v>8701</v>
      </c>
      <c r="M424" s="275">
        <v>31453</v>
      </c>
      <c r="N424" s="275">
        <v>11945</v>
      </c>
      <c r="O424" s="275">
        <v>44550</v>
      </c>
      <c r="P424" s="275">
        <v>48102</v>
      </c>
      <c r="Q424" s="275">
        <v>14351</v>
      </c>
      <c r="R424" s="275">
        <v>18369</v>
      </c>
      <c r="S424" s="275">
        <v>42126</v>
      </c>
      <c r="T424" s="275">
        <v>18020</v>
      </c>
      <c r="U424" s="275">
        <v>399558</v>
      </c>
      <c r="V424" s="276">
        <v>-2937</v>
      </c>
      <c r="W424" s="277">
        <v>396621</v>
      </c>
      <c r="X424" s="275">
        <v>218</v>
      </c>
      <c r="Y424" s="275">
        <v>44567</v>
      </c>
      <c r="Z424" s="276">
        <v>354773</v>
      </c>
      <c r="AA424" s="285">
        <v>6505</v>
      </c>
      <c r="AB424" s="295">
        <v>390770.66385258781</v>
      </c>
    </row>
    <row r="425" spans="1:28" ht="13.5" customHeight="1">
      <c r="A425" s="16" t="s">
        <v>9</v>
      </c>
      <c r="B425" s="17" t="s">
        <v>10</v>
      </c>
      <c r="C425" s="274">
        <v>2378</v>
      </c>
      <c r="D425" s="275">
        <v>76</v>
      </c>
      <c r="E425" s="275">
        <v>381</v>
      </c>
      <c r="F425" s="275">
        <v>1734</v>
      </c>
      <c r="G425" s="275">
        <v>15724</v>
      </c>
      <c r="H425" s="275">
        <v>7663</v>
      </c>
      <c r="I425" s="275">
        <v>22716</v>
      </c>
      <c r="J425" s="275">
        <v>15955</v>
      </c>
      <c r="K425" s="275">
        <v>6803</v>
      </c>
      <c r="L425" s="275">
        <v>12081</v>
      </c>
      <c r="M425" s="275">
        <v>2666</v>
      </c>
      <c r="N425" s="275">
        <v>4686</v>
      </c>
      <c r="O425" s="275">
        <v>21041</v>
      </c>
      <c r="P425" s="275">
        <v>14694</v>
      </c>
      <c r="Q425" s="275">
        <v>14452</v>
      </c>
      <c r="R425" s="275">
        <v>14995</v>
      </c>
      <c r="S425" s="275">
        <v>33071</v>
      </c>
      <c r="T425" s="275">
        <v>9210</v>
      </c>
      <c r="U425" s="275">
        <v>200326</v>
      </c>
      <c r="V425" s="276">
        <v>-1473</v>
      </c>
      <c r="W425" s="277">
        <v>198853</v>
      </c>
      <c r="X425" s="275">
        <v>2835</v>
      </c>
      <c r="Y425" s="275">
        <v>40174</v>
      </c>
      <c r="Z425" s="276">
        <v>157317</v>
      </c>
      <c r="AA425" s="285">
        <v>5639</v>
      </c>
      <c r="AB425" s="295">
        <v>193835.86248643661</v>
      </c>
    </row>
    <row r="426" spans="1:28" ht="13.5" customHeight="1">
      <c r="A426" s="18" t="s">
        <v>11</v>
      </c>
      <c r="B426" s="19" t="s">
        <v>12</v>
      </c>
      <c r="C426" s="274">
        <v>3543</v>
      </c>
      <c r="D426" s="275">
        <v>0</v>
      </c>
      <c r="E426" s="275">
        <v>478</v>
      </c>
      <c r="F426" s="275">
        <v>985</v>
      </c>
      <c r="G426" s="275">
        <v>19505</v>
      </c>
      <c r="H426" s="275">
        <v>3390</v>
      </c>
      <c r="I426" s="275">
        <v>13206</v>
      </c>
      <c r="J426" s="275">
        <v>11237</v>
      </c>
      <c r="K426" s="275">
        <v>8490</v>
      </c>
      <c r="L426" s="275">
        <v>5442</v>
      </c>
      <c r="M426" s="275">
        <v>799</v>
      </c>
      <c r="N426" s="275">
        <v>2117</v>
      </c>
      <c r="O426" s="275">
        <v>18475</v>
      </c>
      <c r="P426" s="275">
        <v>4565</v>
      </c>
      <c r="Q426" s="275">
        <v>8431</v>
      </c>
      <c r="R426" s="275">
        <v>9784</v>
      </c>
      <c r="S426" s="275">
        <v>20171</v>
      </c>
      <c r="T426" s="275">
        <v>8160</v>
      </c>
      <c r="U426" s="275">
        <v>138778</v>
      </c>
      <c r="V426" s="276">
        <v>-1020</v>
      </c>
      <c r="W426" s="277">
        <v>137758</v>
      </c>
      <c r="X426" s="275">
        <v>4021</v>
      </c>
      <c r="Y426" s="275">
        <v>33696</v>
      </c>
      <c r="Z426" s="276">
        <v>101061</v>
      </c>
      <c r="AA426" s="285">
        <v>4636</v>
      </c>
      <c r="AB426" s="295">
        <v>134693.48101823553</v>
      </c>
    </row>
    <row r="427" spans="1:28" ht="13.5" customHeight="1">
      <c r="A427" s="18" t="s">
        <v>13</v>
      </c>
      <c r="B427" s="19" t="s">
        <v>14</v>
      </c>
      <c r="C427" s="274">
        <v>1034</v>
      </c>
      <c r="D427" s="275">
        <v>4</v>
      </c>
      <c r="E427" s="275">
        <v>170</v>
      </c>
      <c r="F427" s="275">
        <v>259</v>
      </c>
      <c r="G427" s="275">
        <v>13095</v>
      </c>
      <c r="H427" s="275">
        <v>10508</v>
      </c>
      <c r="I427" s="275">
        <v>43770</v>
      </c>
      <c r="J427" s="275">
        <v>24184</v>
      </c>
      <c r="K427" s="275">
        <v>10950</v>
      </c>
      <c r="L427" s="275">
        <v>13334</v>
      </c>
      <c r="M427" s="275">
        <v>3202</v>
      </c>
      <c r="N427" s="275">
        <v>10851</v>
      </c>
      <c r="O427" s="275">
        <v>49891</v>
      </c>
      <c r="P427" s="275">
        <v>33008</v>
      </c>
      <c r="Q427" s="275">
        <v>29368</v>
      </c>
      <c r="R427" s="275">
        <v>19938</v>
      </c>
      <c r="S427" s="275">
        <v>57836</v>
      </c>
      <c r="T427" s="275">
        <v>19736</v>
      </c>
      <c r="U427" s="275">
        <v>341138</v>
      </c>
      <c r="V427" s="276">
        <v>-2507</v>
      </c>
      <c r="W427" s="277">
        <v>338631</v>
      </c>
      <c r="X427" s="275">
        <v>1208</v>
      </c>
      <c r="Y427" s="275">
        <v>57124</v>
      </c>
      <c r="Z427" s="276">
        <v>282806</v>
      </c>
      <c r="AA427" s="285">
        <v>6007</v>
      </c>
      <c r="AB427" s="295">
        <v>331018.00476907083</v>
      </c>
    </row>
    <row r="428" spans="1:28" ht="13.5" customHeight="1">
      <c r="A428" s="18" t="s">
        <v>15</v>
      </c>
      <c r="B428" s="19" t="s">
        <v>45</v>
      </c>
      <c r="C428" s="274">
        <v>1179</v>
      </c>
      <c r="D428" s="275">
        <v>1</v>
      </c>
      <c r="E428" s="275">
        <v>334</v>
      </c>
      <c r="F428" s="275">
        <v>35</v>
      </c>
      <c r="G428" s="275">
        <v>5081</v>
      </c>
      <c r="H428" s="275">
        <v>4030</v>
      </c>
      <c r="I428" s="275">
        <v>13979</v>
      </c>
      <c r="J428" s="275">
        <v>15968</v>
      </c>
      <c r="K428" s="275">
        <v>11999</v>
      </c>
      <c r="L428" s="275">
        <v>5567</v>
      </c>
      <c r="M428" s="275">
        <v>6186</v>
      </c>
      <c r="N428" s="275">
        <v>2311</v>
      </c>
      <c r="O428" s="275">
        <v>21120</v>
      </c>
      <c r="P428" s="275">
        <v>19994</v>
      </c>
      <c r="Q428" s="275">
        <v>6500</v>
      </c>
      <c r="R428" s="275">
        <v>7696</v>
      </c>
      <c r="S428" s="275">
        <v>29163</v>
      </c>
      <c r="T428" s="275">
        <v>7304</v>
      </c>
      <c r="U428" s="275">
        <v>158447</v>
      </c>
      <c r="V428" s="276">
        <v>-1164</v>
      </c>
      <c r="W428" s="277">
        <v>157283</v>
      </c>
      <c r="X428" s="275">
        <v>1514</v>
      </c>
      <c r="Y428" s="275">
        <v>19095</v>
      </c>
      <c r="Z428" s="276">
        <v>137838</v>
      </c>
      <c r="AA428" s="285">
        <v>5545</v>
      </c>
      <c r="AB428" s="295">
        <v>153675.62751779487</v>
      </c>
    </row>
    <row r="429" spans="1:28" ht="13.5" customHeight="1">
      <c r="A429" s="18" t="s">
        <v>16</v>
      </c>
      <c r="B429" s="19" t="s">
        <v>46</v>
      </c>
      <c r="C429" s="274">
        <v>2122</v>
      </c>
      <c r="D429" s="275">
        <v>2</v>
      </c>
      <c r="E429" s="275">
        <v>1044</v>
      </c>
      <c r="F429" s="275">
        <v>461</v>
      </c>
      <c r="G429" s="275">
        <v>24552</v>
      </c>
      <c r="H429" s="275">
        <v>25990</v>
      </c>
      <c r="I429" s="275">
        <v>26562</v>
      </c>
      <c r="J429" s="275">
        <v>22964</v>
      </c>
      <c r="K429" s="275">
        <v>11092</v>
      </c>
      <c r="L429" s="275">
        <v>7929</v>
      </c>
      <c r="M429" s="275">
        <v>9821</v>
      </c>
      <c r="N429" s="275">
        <v>5352</v>
      </c>
      <c r="O429" s="275">
        <v>40823</v>
      </c>
      <c r="P429" s="275">
        <v>28157</v>
      </c>
      <c r="Q429" s="275">
        <v>22760</v>
      </c>
      <c r="R429" s="275">
        <v>15805</v>
      </c>
      <c r="S429" s="275">
        <v>35130</v>
      </c>
      <c r="T429" s="275">
        <v>15284</v>
      </c>
      <c r="U429" s="275">
        <v>295850</v>
      </c>
      <c r="V429" s="276">
        <v>-2174</v>
      </c>
      <c r="W429" s="277">
        <v>293676</v>
      </c>
      <c r="X429" s="275">
        <v>3168</v>
      </c>
      <c r="Y429" s="275">
        <v>51575</v>
      </c>
      <c r="Z429" s="276">
        <v>241107</v>
      </c>
      <c r="AA429" s="285">
        <v>6035</v>
      </c>
      <c r="AB429" s="295">
        <v>288404.62857113563</v>
      </c>
    </row>
    <row r="430" spans="1:28" ht="13.5" customHeight="1">
      <c r="A430" s="18">
        <v>10</v>
      </c>
      <c r="B430" s="19" t="s">
        <v>47</v>
      </c>
      <c r="C430" s="274">
        <v>6792</v>
      </c>
      <c r="D430" s="275">
        <v>57</v>
      </c>
      <c r="E430" s="275">
        <v>720</v>
      </c>
      <c r="F430" s="275">
        <v>363</v>
      </c>
      <c r="G430" s="275">
        <v>7964</v>
      </c>
      <c r="H430" s="275">
        <v>7034</v>
      </c>
      <c r="I430" s="275">
        <v>38413</v>
      </c>
      <c r="J430" s="275">
        <v>18813</v>
      </c>
      <c r="K430" s="275">
        <v>10613</v>
      </c>
      <c r="L430" s="275">
        <v>9431</v>
      </c>
      <c r="M430" s="275">
        <v>1961</v>
      </c>
      <c r="N430" s="275">
        <v>2597</v>
      </c>
      <c r="O430" s="275">
        <v>16334</v>
      </c>
      <c r="P430" s="275">
        <v>12419</v>
      </c>
      <c r="Q430" s="275">
        <v>23029</v>
      </c>
      <c r="R430" s="275">
        <v>10039</v>
      </c>
      <c r="S430" s="275">
        <v>20668</v>
      </c>
      <c r="T430" s="275">
        <v>7262</v>
      </c>
      <c r="U430" s="275">
        <v>194509</v>
      </c>
      <c r="V430" s="276">
        <v>-1430</v>
      </c>
      <c r="W430" s="277">
        <v>193079</v>
      </c>
      <c r="X430" s="275">
        <v>7569</v>
      </c>
      <c r="Y430" s="275">
        <v>46740</v>
      </c>
      <c r="Z430" s="276">
        <v>140200</v>
      </c>
      <c r="AA430" s="285">
        <v>6163</v>
      </c>
      <c r="AB430" s="295">
        <v>186813.41603994125</v>
      </c>
    </row>
    <row r="431" spans="1:28" ht="13.5" customHeight="1">
      <c r="A431" s="20">
        <v>11</v>
      </c>
      <c r="B431" s="21" t="s">
        <v>48</v>
      </c>
      <c r="C431" s="278">
        <v>2890</v>
      </c>
      <c r="D431" s="279">
        <v>6</v>
      </c>
      <c r="E431" s="279">
        <v>598</v>
      </c>
      <c r="F431" s="279">
        <v>132</v>
      </c>
      <c r="G431" s="279">
        <v>7696</v>
      </c>
      <c r="H431" s="279">
        <v>3651</v>
      </c>
      <c r="I431" s="279">
        <v>16384</v>
      </c>
      <c r="J431" s="279">
        <v>4232</v>
      </c>
      <c r="K431" s="279">
        <v>4152</v>
      </c>
      <c r="L431" s="279">
        <v>1901</v>
      </c>
      <c r="M431" s="279">
        <v>1480</v>
      </c>
      <c r="N431" s="279">
        <v>468</v>
      </c>
      <c r="O431" s="279">
        <v>12470</v>
      </c>
      <c r="P431" s="279">
        <v>3385</v>
      </c>
      <c r="Q431" s="279">
        <v>10251</v>
      </c>
      <c r="R431" s="279">
        <v>4136</v>
      </c>
      <c r="S431" s="279">
        <v>10080</v>
      </c>
      <c r="T431" s="279">
        <v>5146</v>
      </c>
      <c r="U431" s="279">
        <v>89058</v>
      </c>
      <c r="V431" s="280">
        <v>-654</v>
      </c>
      <c r="W431" s="281">
        <v>88404</v>
      </c>
      <c r="X431" s="279">
        <v>3494</v>
      </c>
      <c r="Y431" s="279">
        <v>24212</v>
      </c>
      <c r="Z431" s="280">
        <v>61352</v>
      </c>
      <c r="AA431" s="286">
        <v>5049</v>
      </c>
      <c r="AB431" s="296">
        <v>86401.668370582236</v>
      </c>
    </row>
    <row r="432" spans="1:28" ht="13.5" customHeight="1">
      <c r="A432" s="18">
        <v>12</v>
      </c>
      <c r="B432" s="19" t="s">
        <v>17</v>
      </c>
      <c r="C432" s="270">
        <v>1688</v>
      </c>
      <c r="D432" s="271">
        <v>85</v>
      </c>
      <c r="E432" s="271">
        <v>45</v>
      </c>
      <c r="F432" s="271">
        <v>86</v>
      </c>
      <c r="G432" s="271">
        <v>144</v>
      </c>
      <c r="H432" s="271">
        <v>489</v>
      </c>
      <c r="I432" s="271">
        <v>3658</v>
      </c>
      <c r="J432" s="271">
        <v>467</v>
      </c>
      <c r="K432" s="271">
        <v>156</v>
      </c>
      <c r="L432" s="271">
        <v>1554</v>
      </c>
      <c r="M432" s="271">
        <v>0</v>
      </c>
      <c r="N432" s="271">
        <v>154</v>
      </c>
      <c r="O432" s="271">
        <v>1107</v>
      </c>
      <c r="P432" s="271">
        <v>154</v>
      </c>
      <c r="Q432" s="271">
        <v>1399</v>
      </c>
      <c r="R432" s="271">
        <v>854</v>
      </c>
      <c r="S432" s="271">
        <v>819</v>
      </c>
      <c r="T432" s="271">
        <v>593</v>
      </c>
      <c r="U432" s="271">
        <v>13452</v>
      </c>
      <c r="V432" s="272">
        <v>-99</v>
      </c>
      <c r="W432" s="273">
        <v>13353</v>
      </c>
      <c r="X432" s="271">
        <v>1818</v>
      </c>
      <c r="Y432" s="271">
        <v>3888</v>
      </c>
      <c r="Z432" s="272">
        <v>7746</v>
      </c>
      <c r="AA432" s="284">
        <v>4487</v>
      </c>
      <c r="AB432" s="294">
        <v>12796.625747995084</v>
      </c>
    </row>
    <row r="433" spans="1:28" ht="13.5" customHeight="1">
      <c r="A433" s="18">
        <v>13</v>
      </c>
      <c r="B433" s="19" t="s">
        <v>18</v>
      </c>
      <c r="C433" s="274">
        <v>1345</v>
      </c>
      <c r="D433" s="275">
        <v>9</v>
      </c>
      <c r="E433" s="275">
        <v>242</v>
      </c>
      <c r="F433" s="275">
        <v>0</v>
      </c>
      <c r="G433" s="275">
        <v>131</v>
      </c>
      <c r="H433" s="275">
        <v>269</v>
      </c>
      <c r="I433" s="275">
        <v>1877</v>
      </c>
      <c r="J433" s="275">
        <v>186</v>
      </c>
      <c r="K433" s="275">
        <v>588</v>
      </c>
      <c r="L433" s="275">
        <v>95</v>
      </c>
      <c r="M433" s="275">
        <v>0</v>
      </c>
      <c r="N433" s="275">
        <v>3</v>
      </c>
      <c r="O433" s="275">
        <v>767</v>
      </c>
      <c r="P433" s="275">
        <v>201</v>
      </c>
      <c r="Q433" s="275">
        <v>834</v>
      </c>
      <c r="R433" s="275">
        <v>613</v>
      </c>
      <c r="S433" s="275">
        <v>803</v>
      </c>
      <c r="T433" s="275">
        <v>330</v>
      </c>
      <c r="U433" s="275">
        <v>8293</v>
      </c>
      <c r="V433" s="276">
        <v>-61</v>
      </c>
      <c r="W433" s="277">
        <v>8232</v>
      </c>
      <c r="X433" s="275">
        <v>1596</v>
      </c>
      <c r="Y433" s="275">
        <v>2008</v>
      </c>
      <c r="Z433" s="276">
        <v>4689</v>
      </c>
      <c r="AA433" s="285">
        <v>4459</v>
      </c>
      <c r="AB433" s="295">
        <v>7884.0381838785506</v>
      </c>
    </row>
    <row r="434" spans="1:28" ht="13.5" customHeight="1">
      <c r="A434" s="18">
        <v>14</v>
      </c>
      <c r="B434" s="19" t="s">
        <v>19</v>
      </c>
      <c r="C434" s="274">
        <v>772</v>
      </c>
      <c r="D434" s="275">
        <v>7</v>
      </c>
      <c r="E434" s="275">
        <v>24</v>
      </c>
      <c r="F434" s="275">
        <v>0</v>
      </c>
      <c r="G434" s="275">
        <v>286</v>
      </c>
      <c r="H434" s="275">
        <v>48</v>
      </c>
      <c r="I434" s="275">
        <v>682</v>
      </c>
      <c r="J434" s="275">
        <v>104</v>
      </c>
      <c r="K434" s="275">
        <v>69</v>
      </c>
      <c r="L434" s="275">
        <v>226</v>
      </c>
      <c r="M434" s="275">
        <v>0</v>
      </c>
      <c r="N434" s="275">
        <v>3</v>
      </c>
      <c r="O434" s="275">
        <v>344</v>
      </c>
      <c r="P434" s="275">
        <v>1262</v>
      </c>
      <c r="Q434" s="275">
        <v>790</v>
      </c>
      <c r="R434" s="275">
        <v>456</v>
      </c>
      <c r="S434" s="275">
        <v>341</v>
      </c>
      <c r="T434" s="275">
        <v>241</v>
      </c>
      <c r="U434" s="275">
        <v>5655</v>
      </c>
      <c r="V434" s="276">
        <v>-41</v>
      </c>
      <c r="W434" s="277">
        <v>5614</v>
      </c>
      <c r="X434" s="275">
        <v>803</v>
      </c>
      <c r="Y434" s="275">
        <v>968</v>
      </c>
      <c r="Z434" s="276">
        <v>3884</v>
      </c>
      <c r="AA434" s="285">
        <v>4484</v>
      </c>
      <c r="AB434" s="295">
        <v>5419.3847833776153</v>
      </c>
    </row>
    <row r="435" spans="1:28" ht="13.5" customHeight="1">
      <c r="A435" s="18">
        <v>15</v>
      </c>
      <c r="B435" s="19" t="s">
        <v>20</v>
      </c>
      <c r="C435" s="274">
        <v>1652</v>
      </c>
      <c r="D435" s="275">
        <v>4</v>
      </c>
      <c r="E435" s="275">
        <v>108</v>
      </c>
      <c r="F435" s="275">
        <v>23</v>
      </c>
      <c r="G435" s="275">
        <v>1144</v>
      </c>
      <c r="H435" s="275">
        <v>697</v>
      </c>
      <c r="I435" s="275">
        <v>3724</v>
      </c>
      <c r="J435" s="275">
        <v>597</v>
      </c>
      <c r="K435" s="275">
        <v>454</v>
      </c>
      <c r="L435" s="275">
        <v>1147</v>
      </c>
      <c r="M435" s="275">
        <v>4</v>
      </c>
      <c r="N435" s="275">
        <v>127</v>
      </c>
      <c r="O435" s="275">
        <v>2171</v>
      </c>
      <c r="P435" s="275">
        <v>963</v>
      </c>
      <c r="Q435" s="275">
        <v>1193</v>
      </c>
      <c r="R435" s="275">
        <v>1315</v>
      </c>
      <c r="S435" s="275">
        <v>2189</v>
      </c>
      <c r="T435" s="275">
        <v>1441</v>
      </c>
      <c r="U435" s="275">
        <v>18953</v>
      </c>
      <c r="V435" s="276">
        <v>-139</v>
      </c>
      <c r="W435" s="277">
        <v>18814</v>
      </c>
      <c r="X435" s="275">
        <v>1764</v>
      </c>
      <c r="Y435" s="275">
        <v>4891</v>
      </c>
      <c r="Z435" s="276">
        <v>12298</v>
      </c>
      <c r="AA435" s="285">
        <v>3958</v>
      </c>
      <c r="AB435" s="295">
        <v>18183.552932671311</v>
      </c>
    </row>
    <row r="436" spans="1:28" ht="13.5" customHeight="1">
      <c r="A436" s="18">
        <v>16</v>
      </c>
      <c r="B436" s="19" t="s">
        <v>21</v>
      </c>
      <c r="C436" s="274">
        <v>1144</v>
      </c>
      <c r="D436" s="275">
        <v>2</v>
      </c>
      <c r="E436" s="275">
        <v>317</v>
      </c>
      <c r="F436" s="275">
        <v>1233</v>
      </c>
      <c r="G436" s="275">
        <v>2198</v>
      </c>
      <c r="H436" s="275">
        <v>1413</v>
      </c>
      <c r="I436" s="275">
        <v>10613</v>
      </c>
      <c r="J436" s="275">
        <v>1723</v>
      </c>
      <c r="K436" s="275">
        <v>2042</v>
      </c>
      <c r="L436" s="275">
        <v>3837</v>
      </c>
      <c r="M436" s="275">
        <v>0</v>
      </c>
      <c r="N436" s="275">
        <v>559</v>
      </c>
      <c r="O436" s="275">
        <v>3865</v>
      </c>
      <c r="P436" s="275">
        <v>2254</v>
      </c>
      <c r="Q436" s="275">
        <v>2207</v>
      </c>
      <c r="R436" s="275">
        <v>2097</v>
      </c>
      <c r="S436" s="275">
        <v>4608</v>
      </c>
      <c r="T436" s="275">
        <v>5374</v>
      </c>
      <c r="U436" s="275">
        <v>45486</v>
      </c>
      <c r="V436" s="276">
        <v>-334</v>
      </c>
      <c r="W436" s="277">
        <v>45152</v>
      </c>
      <c r="X436" s="275">
        <v>1463</v>
      </c>
      <c r="Y436" s="275">
        <v>14044</v>
      </c>
      <c r="Z436" s="276">
        <v>29979</v>
      </c>
      <c r="AA436" s="285">
        <v>5053</v>
      </c>
      <c r="AB436" s="295">
        <v>43635.654632505437</v>
      </c>
    </row>
    <row r="437" spans="1:28" ht="13.5" customHeight="1">
      <c r="A437" s="18">
        <v>17</v>
      </c>
      <c r="B437" s="19" t="s">
        <v>22</v>
      </c>
      <c r="C437" s="274">
        <v>628</v>
      </c>
      <c r="D437" s="275">
        <v>17</v>
      </c>
      <c r="E437" s="275">
        <v>385</v>
      </c>
      <c r="F437" s="275">
        <v>132</v>
      </c>
      <c r="G437" s="275">
        <v>398</v>
      </c>
      <c r="H437" s="275">
        <v>771</v>
      </c>
      <c r="I437" s="275">
        <v>18185</v>
      </c>
      <c r="J437" s="275">
        <v>1534</v>
      </c>
      <c r="K437" s="275">
        <v>1211</v>
      </c>
      <c r="L437" s="275">
        <v>12239</v>
      </c>
      <c r="M437" s="275">
        <v>95</v>
      </c>
      <c r="N437" s="275">
        <v>185</v>
      </c>
      <c r="O437" s="275">
        <v>5029</v>
      </c>
      <c r="P437" s="275">
        <v>1287</v>
      </c>
      <c r="Q437" s="275">
        <v>3746</v>
      </c>
      <c r="R437" s="275">
        <v>9311</v>
      </c>
      <c r="S437" s="275">
        <v>1696</v>
      </c>
      <c r="T437" s="275">
        <v>3793</v>
      </c>
      <c r="U437" s="275">
        <v>60642</v>
      </c>
      <c r="V437" s="276">
        <v>-446</v>
      </c>
      <c r="W437" s="277">
        <v>60196</v>
      </c>
      <c r="X437" s="275">
        <v>1030</v>
      </c>
      <c r="Y437" s="275">
        <v>18715</v>
      </c>
      <c r="Z437" s="276">
        <v>40897</v>
      </c>
      <c r="AA437" s="285">
        <v>5723</v>
      </c>
      <c r="AB437" s="295">
        <v>57738.978404927271</v>
      </c>
    </row>
    <row r="438" spans="1:28" ht="13.5" customHeight="1">
      <c r="A438" s="18">
        <v>18</v>
      </c>
      <c r="B438" s="19" t="s">
        <v>23</v>
      </c>
      <c r="C438" s="274">
        <v>644</v>
      </c>
      <c r="D438" s="275">
        <v>8</v>
      </c>
      <c r="E438" s="275">
        <v>170</v>
      </c>
      <c r="F438" s="275">
        <v>6</v>
      </c>
      <c r="G438" s="275">
        <v>237</v>
      </c>
      <c r="H438" s="275">
        <v>667</v>
      </c>
      <c r="I438" s="275">
        <v>4194</v>
      </c>
      <c r="J438" s="275">
        <v>456</v>
      </c>
      <c r="K438" s="275">
        <v>1855</v>
      </c>
      <c r="L438" s="275">
        <v>226</v>
      </c>
      <c r="M438" s="275">
        <v>777</v>
      </c>
      <c r="N438" s="275">
        <v>28</v>
      </c>
      <c r="O438" s="275">
        <v>1613</v>
      </c>
      <c r="P438" s="275">
        <v>1091</v>
      </c>
      <c r="Q438" s="275">
        <v>1541</v>
      </c>
      <c r="R438" s="275">
        <v>1189</v>
      </c>
      <c r="S438" s="275">
        <v>2070</v>
      </c>
      <c r="T438" s="275">
        <v>1041</v>
      </c>
      <c r="U438" s="275">
        <v>17813</v>
      </c>
      <c r="V438" s="276">
        <v>-131</v>
      </c>
      <c r="W438" s="277">
        <v>17682</v>
      </c>
      <c r="X438" s="275">
        <v>822</v>
      </c>
      <c r="Y438" s="275">
        <v>4437</v>
      </c>
      <c r="Z438" s="276">
        <v>12554</v>
      </c>
      <c r="AA438" s="285">
        <v>5574</v>
      </c>
      <c r="AB438" s="295">
        <v>17179.103425277972</v>
      </c>
    </row>
    <row r="439" spans="1:28" ht="13.5" customHeight="1">
      <c r="A439" s="18">
        <v>19</v>
      </c>
      <c r="B439" s="19" t="s">
        <v>24</v>
      </c>
      <c r="C439" s="274">
        <v>709</v>
      </c>
      <c r="D439" s="275">
        <v>0</v>
      </c>
      <c r="E439" s="275">
        <v>82</v>
      </c>
      <c r="F439" s="275">
        <v>75</v>
      </c>
      <c r="G439" s="275">
        <v>685</v>
      </c>
      <c r="H439" s="275">
        <v>10578</v>
      </c>
      <c r="I439" s="275">
        <v>3719</v>
      </c>
      <c r="J439" s="275">
        <v>1094</v>
      </c>
      <c r="K439" s="275">
        <v>2662</v>
      </c>
      <c r="L439" s="275">
        <v>885</v>
      </c>
      <c r="M439" s="275">
        <v>399</v>
      </c>
      <c r="N439" s="275">
        <v>332</v>
      </c>
      <c r="O439" s="275">
        <v>3585</v>
      </c>
      <c r="P439" s="275">
        <v>548</v>
      </c>
      <c r="Q439" s="275">
        <v>2022</v>
      </c>
      <c r="R439" s="275">
        <v>1784</v>
      </c>
      <c r="S439" s="275">
        <v>5622</v>
      </c>
      <c r="T439" s="275">
        <v>1428</v>
      </c>
      <c r="U439" s="275">
        <v>36209</v>
      </c>
      <c r="V439" s="276">
        <v>-266</v>
      </c>
      <c r="W439" s="277">
        <v>35943</v>
      </c>
      <c r="X439" s="275">
        <v>791</v>
      </c>
      <c r="Y439" s="275">
        <v>4479</v>
      </c>
      <c r="Z439" s="276">
        <v>30939</v>
      </c>
      <c r="AA439" s="285">
        <v>6028</v>
      </c>
      <c r="AB439" s="295">
        <v>35406.454588160625</v>
      </c>
    </row>
    <row r="440" spans="1:28" ht="13.5" customHeight="1">
      <c r="A440" s="20">
        <v>20</v>
      </c>
      <c r="B440" s="21" t="s">
        <v>25</v>
      </c>
      <c r="C440" s="278">
        <v>2001</v>
      </c>
      <c r="D440" s="279">
        <v>2</v>
      </c>
      <c r="E440" s="279">
        <v>103</v>
      </c>
      <c r="F440" s="279">
        <v>46</v>
      </c>
      <c r="G440" s="279">
        <v>494</v>
      </c>
      <c r="H440" s="279">
        <v>375</v>
      </c>
      <c r="I440" s="279">
        <v>1910</v>
      </c>
      <c r="J440" s="279">
        <v>671</v>
      </c>
      <c r="K440" s="279">
        <v>605</v>
      </c>
      <c r="L440" s="279">
        <v>601</v>
      </c>
      <c r="M440" s="279">
        <v>28</v>
      </c>
      <c r="N440" s="279">
        <v>17</v>
      </c>
      <c r="O440" s="279">
        <v>1152</v>
      </c>
      <c r="P440" s="279">
        <v>181</v>
      </c>
      <c r="Q440" s="279">
        <v>1355</v>
      </c>
      <c r="R440" s="279">
        <v>563</v>
      </c>
      <c r="S440" s="279">
        <v>1002</v>
      </c>
      <c r="T440" s="279">
        <v>750</v>
      </c>
      <c r="U440" s="279">
        <v>11856</v>
      </c>
      <c r="V440" s="280">
        <v>-87</v>
      </c>
      <c r="W440" s="281">
        <v>11769</v>
      </c>
      <c r="X440" s="279">
        <v>2106</v>
      </c>
      <c r="Y440" s="279">
        <v>2450</v>
      </c>
      <c r="Z440" s="280">
        <v>7300</v>
      </c>
      <c r="AA440" s="286">
        <v>3955</v>
      </c>
      <c r="AB440" s="296">
        <v>11323.836462880003</v>
      </c>
    </row>
    <row r="441" spans="1:28" ht="13.5" customHeight="1">
      <c r="A441" s="18">
        <v>21</v>
      </c>
      <c r="B441" s="19" t="s">
        <v>26</v>
      </c>
      <c r="C441" s="270">
        <v>955</v>
      </c>
      <c r="D441" s="271">
        <v>1</v>
      </c>
      <c r="E441" s="271">
        <v>118</v>
      </c>
      <c r="F441" s="271">
        <v>196</v>
      </c>
      <c r="G441" s="271">
        <v>6151</v>
      </c>
      <c r="H441" s="271">
        <v>2488</v>
      </c>
      <c r="I441" s="271">
        <v>10106</v>
      </c>
      <c r="J441" s="271">
        <v>3694</v>
      </c>
      <c r="K441" s="271">
        <v>854</v>
      </c>
      <c r="L441" s="271">
        <v>3553</v>
      </c>
      <c r="M441" s="271">
        <v>59</v>
      </c>
      <c r="N441" s="271">
        <v>799</v>
      </c>
      <c r="O441" s="271">
        <v>14868</v>
      </c>
      <c r="P441" s="271">
        <v>2060</v>
      </c>
      <c r="Q441" s="271">
        <v>3311</v>
      </c>
      <c r="R441" s="271">
        <v>3884</v>
      </c>
      <c r="S441" s="271">
        <v>5743</v>
      </c>
      <c r="T441" s="271">
        <v>5562</v>
      </c>
      <c r="U441" s="271">
        <v>64402</v>
      </c>
      <c r="V441" s="272">
        <v>-474</v>
      </c>
      <c r="W441" s="273">
        <v>63928</v>
      </c>
      <c r="X441" s="271">
        <v>1074</v>
      </c>
      <c r="Y441" s="271">
        <v>16453</v>
      </c>
      <c r="Z441" s="272">
        <v>46875</v>
      </c>
      <c r="AA441" s="284">
        <v>4715</v>
      </c>
      <c r="AB441" s="294">
        <v>62657.165631381518</v>
      </c>
    </row>
    <row r="442" spans="1:28" ht="13.5" customHeight="1">
      <c r="A442" s="18">
        <v>22</v>
      </c>
      <c r="B442" s="19" t="s">
        <v>27</v>
      </c>
      <c r="C442" s="274">
        <v>35</v>
      </c>
      <c r="D442" s="275">
        <v>0</v>
      </c>
      <c r="E442" s="275">
        <v>8</v>
      </c>
      <c r="F442" s="275">
        <v>0</v>
      </c>
      <c r="G442" s="275">
        <v>913</v>
      </c>
      <c r="H442" s="275">
        <v>908</v>
      </c>
      <c r="I442" s="275">
        <v>4936</v>
      </c>
      <c r="J442" s="275">
        <v>1671</v>
      </c>
      <c r="K442" s="275">
        <v>414</v>
      </c>
      <c r="L442" s="275">
        <v>891</v>
      </c>
      <c r="M442" s="275">
        <v>619</v>
      </c>
      <c r="N442" s="275">
        <v>1571</v>
      </c>
      <c r="O442" s="275">
        <v>4196</v>
      </c>
      <c r="P442" s="275">
        <v>2876</v>
      </c>
      <c r="Q442" s="275">
        <v>12168</v>
      </c>
      <c r="R442" s="275">
        <v>1905</v>
      </c>
      <c r="S442" s="275">
        <v>4255</v>
      </c>
      <c r="T442" s="275">
        <v>1994</v>
      </c>
      <c r="U442" s="275">
        <v>39360</v>
      </c>
      <c r="V442" s="276">
        <v>-290</v>
      </c>
      <c r="W442" s="277">
        <v>39070</v>
      </c>
      <c r="X442" s="275">
        <v>43</v>
      </c>
      <c r="Y442" s="275">
        <v>5849</v>
      </c>
      <c r="Z442" s="276">
        <v>33468</v>
      </c>
      <c r="AA442" s="285">
        <v>4983</v>
      </c>
      <c r="AB442" s="295">
        <v>38179.999911795276</v>
      </c>
    </row>
    <row r="443" spans="1:28" ht="13.5" customHeight="1">
      <c r="A443" s="18">
        <v>23</v>
      </c>
      <c r="B443" s="19" t="s">
        <v>28</v>
      </c>
      <c r="C443" s="274">
        <v>1</v>
      </c>
      <c r="D443" s="275">
        <v>4</v>
      </c>
      <c r="E443" s="275">
        <v>67</v>
      </c>
      <c r="F443" s="275">
        <v>6</v>
      </c>
      <c r="G443" s="275">
        <v>517</v>
      </c>
      <c r="H443" s="275">
        <v>6348</v>
      </c>
      <c r="I443" s="275">
        <v>12605</v>
      </c>
      <c r="J443" s="275">
        <v>8373</v>
      </c>
      <c r="K443" s="275">
        <v>801</v>
      </c>
      <c r="L443" s="275">
        <v>8346</v>
      </c>
      <c r="M443" s="275">
        <v>6158</v>
      </c>
      <c r="N443" s="275">
        <v>2756</v>
      </c>
      <c r="O443" s="275">
        <v>15834</v>
      </c>
      <c r="P443" s="275">
        <v>7140</v>
      </c>
      <c r="Q443" s="275">
        <v>2934</v>
      </c>
      <c r="R443" s="275">
        <v>3164</v>
      </c>
      <c r="S443" s="275">
        <v>6368</v>
      </c>
      <c r="T443" s="275">
        <v>6497</v>
      </c>
      <c r="U443" s="275">
        <v>87919</v>
      </c>
      <c r="V443" s="276">
        <v>-646</v>
      </c>
      <c r="W443" s="277">
        <v>87273</v>
      </c>
      <c r="X443" s="275">
        <v>72</v>
      </c>
      <c r="Y443" s="275">
        <v>13128</v>
      </c>
      <c r="Z443" s="276">
        <v>74719</v>
      </c>
      <c r="AA443" s="285">
        <v>5895</v>
      </c>
      <c r="AB443" s="295">
        <v>85500.560843690764</v>
      </c>
    </row>
    <row r="444" spans="1:28" ht="13.5" customHeight="1">
      <c r="A444" s="18">
        <v>24</v>
      </c>
      <c r="B444" s="19" t="s">
        <v>29</v>
      </c>
      <c r="C444" s="274">
        <v>48</v>
      </c>
      <c r="D444" s="275">
        <v>2</v>
      </c>
      <c r="E444" s="275">
        <v>98</v>
      </c>
      <c r="F444" s="275">
        <v>23</v>
      </c>
      <c r="G444" s="275">
        <v>314</v>
      </c>
      <c r="H444" s="275">
        <v>996</v>
      </c>
      <c r="I444" s="275">
        <v>5983</v>
      </c>
      <c r="J444" s="275">
        <v>2510</v>
      </c>
      <c r="K444" s="275">
        <v>1286</v>
      </c>
      <c r="L444" s="275">
        <v>3483</v>
      </c>
      <c r="M444" s="275">
        <v>139</v>
      </c>
      <c r="N444" s="275">
        <v>580</v>
      </c>
      <c r="O444" s="275">
        <v>6805</v>
      </c>
      <c r="P444" s="275">
        <v>1588</v>
      </c>
      <c r="Q444" s="275">
        <v>1716</v>
      </c>
      <c r="R444" s="275">
        <v>3767</v>
      </c>
      <c r="S444" s="275">
        <v>10280</v>
      </c>
      <c r="T444" s="275">
        <v>2836</v>
      </c>
      <c r="U444" s="275">
        <v>42454</v>
      </c>
      <c r="V444" s="276">
        <v>-312</v>
      </c>
      <c r="W444" s="277">
        <v>42142</v>
      </c>
      <c r="X444" s="275">
        <v>148</v>
      </c>
      <c r="Y444" s="275">
        <v>6320</v>
      </c>
      <c r="Z444" s="276">
        <v>35986</v>
      </c>
      <c r="AA444" s="285">
        <v>5107</v>
      </c>
      <c r="AB444" s="295">
        <v>41126.341303761445</v>
      </c>
    </row>
    <row r="445" spans="1:28" ht="13.5" customHeight="1">
      <c r="A445" s="18">
        <v>25</v>
      </c>
      <c r="B445" s="19" t="s">
        <v>30</v>
      </c>
      <c r="C445" s="274">
        <v>178</v>
      </c>
      <c r="D445" s="275">
        <v>0</v>
      </c>
      <c r="E445" s="275">
        <v>17</v>
      </c>
      <c r="F445" s="275">
        <v>219</v>
      </c>
      <c r="G445" s="275">
        <v>5946</v>
      </c>
      <c r="H445" s="275">
        <v>13966</v>
      </c>
      <c r="I445" s="275">
        <v>5656</v>
      </c>
      <c r="J445" s="275">
        <v>3314</v>
      </c>
      <c r="K445" s="275">
        <v>1456</v>
      </c>
      <c r="L445" s="275">
        <v>822</v>
      </c>
      <c r="M445" s="275">
        <v>820</v>
      </c>
      <c r="N445" s="275">
        <v>327</v>
      </c>
      <c r="O445" s="275">
        <v>7262</v>
      </c>
      <c r="P445" s="275">
        <v>1912</v>
      </c>
      <c r="Q445" s="275">
        <v>1698</v>
      </c>
      <c r="R445" s="275">
        <v>1699</v>
      </c>
      <c r="S445" s="275">
        <v>10247</v>
      </c>
      <c r="T445" s="275">
        <v>3721</v>
      </c>
      <c r="U445" s="275">
        <v>59260</v>
      </c>
      <c r="V445" s="276">
        <v>-435</v>
      </c>
      <c r="W445" s="277">
        <v>58825</v>
      </c>
      <c r="X445" s="275">
        <v>195</v>
      </c>
      <c r="Y445" s="275">
        <v>11821</v>
      </c>
      <c r="Z445" s="276">
        <v>47244</v>
      </c>
      <c r="AA445" s="285">
        <v>6389</v>
      </c>
      <c r="AB445" s="295">
        <v>58122.769127600695</v>
      </c>
    </row>
    <row r="446" spans="1:28" ht="13.5" customHeight="1">
      <c r="A446" s="20">
        <v>26</v>
      </c>
      <c r="B446" s="21" t="s">
        <v>31</v>
      </c>
      <c r="C446" s="278">
        <v>197</v>
      </c>
      <c r="D446" s="279">
        <v>2</v>
      </c>
      <c r="E446" s="279">
        <v>96</v>
      </c>
      <c r="F446" s="279">
        <v>46</v>
      </c>
      <c r="G446" s="279">
        <v>21170</v>
      </c>
      <c r="H446" s="279">
        <v>5590</v>
      </c>
      <c r="I446" s="279">
        <v>9193</v>
      </c>
      <c r="J446" s="279">
        <v>13736</v>
      </c>
      <c r="K446" s="279">
        <v>6626</v>
      </c>
      <c r="L446" s="279">
        <v>1829</v>
      </c>
      <c r="M446" s="279">
        <v>421</v>
      </c>
      <c r="N446" s="279">
        <v>1839</v>
      </c>
      <c r="O446" s="279">
        <v>10082</v>
      </c>
      <c r="P446" s="279">
        <v>5329</v>
      </c>
      <c r="Q446" s="279">
        <v>2604</v>
      </c>
      <c r="R446" s="279">
        <v>21211</v>
      </c>
      <c r="S446" s="279">
        <v>18366</v>
      </c>
      <c r="T446" s="279">
        <v>5090</v>
      </c>
      <c r="U446" s="279">
        <v>123427</v>
      </c>
      <c r="V446" s="280">
        <v>-907</v>
      </c>
      <c r="W446" s="281">
        <v>122520</v>
      </c>
      <c r="X446" s="279">
        <v>295</v>
      </c>
      <c r="Y446" s="279">
        <v>30409</v>
      </c>
      <c r="Z446" s="280">
        <v>92723</v>
      </c>
      <c r="AA446" s="286">
        <v>5418</v>
      </c>
      <c r="AB446" s="296">
        <v>120222.88227336854</v>
      </c>
    </row>
    <row r="447" spans="1:28" ht="13.5" customHeight="1">
      <c r="A447" s="18">
        <v>27</v>
      </c>
      <c r="B447" s="19" t="s">
        <v>32</v>
      </c>
      <c r="C447" s="270">
        <v>127</v>
      </c>
      <c r="D447" s="271">
        <v>0</v>
      </c>
      <c r="E447" s="271">
        <v>164</v>
      </c>
      <c r="F447" s="271">
        <v>23</v>
      </c>
      <c r="G447" s="271">
        <v>467</v>
      </c>
      <c r="H447" s="271">
        <v>890</v>
      </c>
      <c r="I447" s="271">
        <v>5363</v>
      </c>
      <c r="J447" s="271">
        <v>4664</v>
      </c>
      <c r="K447" s="271">
        <v>655</v>
      </c>
      <c r="L447" s="271">
        <v>1511</v>
      </c>
      <c r="M447" s="271">
        <v>123</v>
      </c>
      <c r="N447" s="271">
        <v>1188</v>
      </c>
      <c r="O447" s="271">
        <v>6511</v>
      </c>
      <c r="P447" s="271">
        <v>1270</v>
      </c>
      <c r="Q447" s="271">
        <v>3175</v>
      </c>
      <c r="R447" s="271">
        <v>4219</v>
      </c>
      <c r="S447" s="271">
        <v>6368</v>
      </c>
      <c r="T447" s="271">
        <v>2158</v>
      </c>
      <c r="U447" s="271">
        <v>38876</v>
      </c>
      <c r="V447" s="272">
        <v>-286</v>
      </c>
      <c r="W447" s="273">
        <v>38590</v>
      </c>
      <c r="X447" s="271">
        <v>291</v>
      </c>
      <c r="Y447" s="271">
        <v>5853</v>
      </c>
      <c r="Z447" s="272">
        <v>32732</v>
      </c>
      <c r="AA447" s="284">
        <v>5197</v>
      </c>
      <c r="AB447" s="294">
        <v>37772.502666017936</v>
      </c>
    </row>
    <row r="448" spans="1:28" ht="13.5" customHeight="1">
      <c r="A448" s="18">
        <v>28</v>
      </c>
      <c r="B448" s="19" t="s">
        <v>33</v>
      </c>
      <c r="C448" s="274">
        <v>819</v>
      </c>
      <c r="D448" s="275">
        <v>8</v>
      </c>
      <c r="E448" s="275">
        <v>0</v>
      </c>
      <c r="F448" s="275">
        <v>75</v>
      </c>
      <c r="G448" s="275">
        <v>3550</v>
      </c>
      <c r="H448" s="275">
        <v>3247</v>
      </c>
      <c r="I448" s="275">
        <v>12205</v>
      </c>
      <c r="J448" s="275">
        <v>12626</v>
      </c>
      <c r="K448" s="275">
        <v>3353</v>
      </c>
      <c r="L448" s="275">
        <v>3084</v>
      </c>
      <c r="M448" s="275">
        <v>411</v>
      </c>
      <c r="N448" s="275">
        <v>1844</v>
      </c>
      <c r="O448" s="275">
        <v>13042</v>
      </c>
      <c r="P448" s="275">
        <v>4395</v>
      </c>
      <c r="Q448" s="275">
        <v>2929</v>
      </c>
      <c r="R448" s="275">
        <v>5677</v>
      </c>
      <c r="S448" s="275">
        <v>25639</v>
      </c>
      <c r="T448" s="275">
        <v>6260</v>
      </c>
      <c r="U448" s="275">
        <v>99164</v>
      </c>
      <c r="V448" s="276">
        <v>-729</v>
      </c>
      <c r="W448" s="277">
        <v>98435</v>
      </c>
      <c r="X448" s="275">
        <v>827</v>
      </c>
      <c r="Y448" s="275">
        <v>15830</v>
      </c>
      <c r="Z448" s="276">
        <v>82507</v>
      </c>
      <c r="AA448" s="285">
        <v>4980</v>
      </c>
      <c r="AB448" s="295">
        <v>96367.299909415873</v>
      </c>
    </row>
    <row r="449" spans="1:28" ht="13.5" customHeight="1">
      <c r="A449" s="18">
        <v>29</v>
      </c>
      <c r="B449" s="19" t="s">
        <v>34</v>
      </c>
      <c r="C449" s="274">
        <v>1</v>
      </c>
      <c r="D449" s="275">
        <v>3</v>
      </c>
      <c r="E449" s="275">
        <v>23</v>
      </c>
      <c r="F449" s="275">
        <v>0</v>
      </c>
      <c r="G449" s="275">
        <v>12</v>
      </c>
      <c r="H449" s="275">
        <v>128</v>
      </c>
      <c r="I449" s="275">
        <v>274</v>
      </c>
      <c r="J449" s="275">
        <v>28</v>
      </c>
      <c r="K449" s="275">
        <v>159</v>
      </c>
      <c r="L449" s="275">
        <v>413</v>
      </c>
      <c r="M449" s="275">
        <v>4</v>
      </c>
      <c r="N449" s="275">
        <v>5</v>
      </c>
      <c r="O449" s="275">
        <v>102</v>
      </c>
      <c r="P449" s="275">
        <v>103</v>
      </c>
      <c r="Q449" s="275">
        <v>464</v>
      </c>
      <c r="R449" s="275">
        <v>314</v>
      </c>
      <c r="S449" s="275">
        <v>180</v>
      </c>
      <c r="T449" s="275">
        <v>548</v>
      </c>
      <c r="U449" s="275">
        <v>2761</v>
      </c>
      <c r="V449" s="276">
        <v>-20</v>
      </c>
      <c r="W449" s="277">
        <v>2741</v>
      </c>
      <c r="X449" s="275">
        <v>27</v>
      </c>
      <c r="Y449" s="275">
        <v>286</v>
      </c>
      <c r="Z449" s="276">
        <v>2448</v>
      </c>
      <c r="AA449" s="285">
        <v>4630</v>
      </c>
      <c r="AB449" s="295">
        <v>2645.669059596461</v>
      </c>
    </row>
    <row r="450" spans="1:28" ht="13.5" customHeight="1">
      <c r="A450" s="18">
        <v>30</v>
      </c>
      <c r="B450" s="19" t="s">
        <v>35</v>
      </c>
      <c r="C450" s="274">
        <v>2</v>
      </c>
      <c r="D450" s="275">
        <v>0</v>
      </c>
      <c r="E450" s="275">
        <v>35</v>
      </c>
      <c r="F450" s="275">
        <v>0</v>
      </c>
      <c r="G450" s="275">
        <v>58</v>
      </c>
      <c r="H450" s="275">
        <v>238</v>
      </c>
      <c r="I450" s="275">
        <v>916</v>
      </c>
      <c r="J450" s="275">
        <v>97</v>
      </c>
      <c r="K450" s="275">
        <v>226</v>
      </c>
      <c r="L450" s="275">
        <v>765</v>
      </c>
      <c r="M450" s="275">
        <v>0</v>
      </c>
      <c r="N450" s="275">
        <v>7</v>
      </c>
      <c r="O450" s="275">
        <v>183</v>
      </c>
      <c r="P450" s="275">
        <v>190</v>
      </c>
      <c r="Q450" s="275">
        <v>409</v>
      </c>
      <c r="R450" s="275">
        <v>491</v>
      </c>
      <c r="S450" s="275">
        <v>223</v>
      </c>
      <c r="T450" s="275">
        <v>794</v>
      </c>
      <c r="U450" s="275">
        <v>4634</v>
      </c>
      <c r="V450" s="276">
        <v>-34</v>
      </c>
      <c r="W450" s="277">
        <v>4600</v>
      </c>
      <c r="X450" s="275">
        <v>37</v>
      </c>
      <c r="Y450" s="275">
        <v>974</v>
      </c>
      <c r="Z450" s="276">
        <v>3623</v>
      </c>
      <c r="AA450" s="285">
        <v>5860</v>
      </c>
      <c r="AB450" s="295">
        <v>4418.539304169024</v>
      </c>
    </row>
    <row r="451" spans="1:28" ht="13.5" customHeight="1">
      <c r="A451" s="18">
        <v>31</v>
      </c>
      <c r="B451" s="19" t="s">
        <v>36</v>
      </c>
      <c r="C451" s="274">
        <v>64</v>
      </c>
      <c r="D451" s="275">
        <v>0</v>
      </c>
      <c r="E451" s="275">
        <v>10</v>
      </c>
      <c r="F451" s="275">
        <v>6</v>
      </c>
      <c r="G451" s="275">
        <v>156</v>
      </c>
      <c r="H451" s="275">
        <v>106</v>
      </c>
      <c r="I451" s="275">
        <v>667</v>
      </c>
      <c r="J451" s="275">
        <v>26</v>
      </c>
      <c r="K451" s="275">
        <v>137</v>
      </c>
      <c r="L451" s="275">
        <v>97</v>
      </c>
      <c r="M451" s="275">
        <v>0</v>
      </c>
      <c r="N451" s="275">
        <v>3</v>
      </c>
      <c r="O451" s="275">
        <v>216</v>
      </c>
      <c r="P451" s="275">
        <v>0</v>
      </c>
      <c r="Q451" s="275">
        <v>450</v>
      </c>
      <c r="R451" s="275">
        <v>242</v>
      </c>
      <c r="S451" s="275">
        <v>407</v>
      </c>
      <c r="T451" s="275">
        <v>85</v>
      </c>
      <c r="U451" s="275">
        <v>2672</v>
      </c>
      <c r="V451" s="276">
        <v>-19</v>
      </c>
      <c r="W451" s="277">
        <v>2653</v>
      </c>
      <c r="X451" s="275">
        <v>74</v>
      </c>
      <c r="Y451" s="275">
        <v>829</v>
      </c>
      <c r="Z451" s="276">
        <v>1769</v>
      </c>
      <c r="AA451" s="285">
        <v>5831</v>
      </c>
      <c r="AB451" s="295">
        <v>2580.3013900746423</v>
      </c>
    </row>
    <row r="452" spans="1:28" ht="13.5" customHeight="1">
      <c r="A452" s="18">
        <v>32</v>
      </c>
      <c r="B452" s="19" t="s">
        <v>37</v>
      </c>
      <c r="C452" s="274">
        <v>1</v>
      </c>
      <c r="D452" s="275">
        <v>0</v>
      </c>
      <c r="E452" s="275">
        <v>83</v>
      </c>
      <c r="F452" s="275">
        <v>0</v>
      </c>
      <c r="G452" s="275">
        <v>0</v>
      </c>
      <c r="H452" s="275">
        <v>19</v>
      </c>
      <c r="I452" s="275">
        <v>528</v>
      </c>
      <c r="J452" s="275">
        <v>16</v>
      </c>
      <c r="K452" s="275">
        <v>34</v>
      </c>
      <c r="L452" s="275">
        <v>45</v>
      </c>
      <c r="M452" s="275">
        <v>0</v>
      </c>
      <c r="N452" s="275">
        <v>11</v>
      </c>
      <c r="O452" s="275">
        <v>56</v>
      </c>
      <c r="P452" s="275">
        <v>0</v>
      </c>
      <c r="Q452" s="275">
        <v>284</v>
      </c>
      <c r="R452" s="275">
        <v>178</v>
      </c>
      <c r="S452" s="275">
        <v>135</v>
      </c>
      <c r="T452" s="275">
        <v>17</v>
      </c>
      <c r="U452" s="275">
        <v>1407</v>
      </c>
      <c r="V452" s="276">
        <v>-10</v>
      </c>
      <c r="W452" s="277">
        <v>1397</v>
      </c>
      <c r="X452" s="275">
        <v>84</v>
      </c>
      <c r="Y452" s="275">
        <v>528</v>
      </c>
      <c r="Z452" s="276">
        <v>795</v>
      </c>
      <c r="AA452" s="285">
        <v>5043</v>
      </c>
      <c r="AB452" s="295">
        <v>1343.8647540271033</v>
      </c>
    </row>
    <row r="453" spans="1:28" ht="13.5" customHeight="1">
      <c r="A453" s="18">
        <v>33</v>
      </c>
      <c r="B453" s="19" t="s">
        <v>38</v>
      </c>
      <c r="C453" s="274">
        <v>1234</v>
      </c>
      <c r="D453" s="275">
        <v>5</v>
      </c>
      <c r="E453" s="275">
        <v>41</v>
      </c>
      <c r="F453" s="275">
        <v>115</v>
      </c>
      <c r="G453" s="275">
        <v>1960</v>
      </c>
      <c r="H453" s="275">
        <v>241</v>
      </c>
      <c r="I453" s="275">
        <v>2858</v>
      </c>
      <c r="J453" s="275">
        <v>230</v>
      </c>
      <c r="K453" s="275">
        <v>116</v>
      </c>
      <c r="L453" s="275">
        <v>171</v>
      </c>
      <c r="M453" s="275">
        <v>0</v>
      </c>
      <c r="N453" s="275">
        <v>5</v>
      </c>
      <c r="O453" s="275">
        <v>107</v>
      </c>
      <c r="P453" s="275">
        <v>65</v>
      </c>
      <c r="Q453" s="275">
        <v>818</v>
      </c>
      <c r="R453" s="275">
        <v>312</v>
      </c>
      <c r="S453" s="275">
        <v>205</v>
      </c>
      <c r="T453" s="275">
        <v>145</v>
      </c>
      <c r="U453" s="275">
        <v>8628</v>
      </c>
      <c r="V453" s="276">
        <v>-64</v>
      </c>
      <c r="W453" s="277">
        <v>8564</v>
      </c>
      <c r="X453" s="275">
        <v>1280</v>
      </c>
      <c r="Y453" s="275">
        <v>4933</v>
      </c>
      <c r="Z453" s="276">
        <v>2415</v>
      </c>
      <c r="AA453" s="285">
        <v>7512</v>
      </c>
      <c r="AB453" s="295">
        <v>8195.8972398699643</v>
      </c>
    </row>
    <row r="454" spans="1:28" ht="13.5" customHeight="1">
      <c r="A454" s="18">
        <v>34</v>
      </c>
      <c r="B454" s="19" t="s">
        <v>39</v>
      </c>
      <c r="C454" s="274">
        <v>398</v>
      </c>
      <c r="D454" s="275">
        <v>0</v>
      </c>
      <c r="E454" s="275">
        <v>15</v>
      </c>
      <c r="F454" s="275">
        <v>0</v>
      </c>
      <c r="G454" s="275">
        <v>503</v>
      </c>
      <c r="H454" s="275">
        <v>73</v>
      </c>
      <c r="I454" s="275">
        <v>1845</v>
      </c>
      <c r="J454" s="275">
        <v>58</v>
      </c>
      <c r="K454" s="275">
        <v>106</v>
      </c>
      <c r="L454" s="275">
        <v>227</v>
      </c>
      <c r="M454" s="275">
        <v>0</v>
      </c>
      <c r="N454" s="275">
        <v>8</v>
      </c>
      <c r="O454" s="275">
        <v>33</v>
      </c>
      <c r="P454" s="275">
        <v>43</v>
      </c>
      <c r="Q454" s="275">
        <v>375</v>
      </c>
      <c r="R454" s="275">
        <v>240</v>
      </c>
      <c r="S454" s="275">
        <v>154</v>
      </c>
      <c r="T454" s="275">
        <v>64</v>
      </c>
      <c r="U454" s="275">
        <v>4142</v>
      </c>
      <c r="V454" s="276">
        <v>-30</v>
      </c>
      <c r="W454" s="277">
        <v>4112</v>
      </c>
      <c r="X454" s="275">
        <v>413</v>
      </c>
      <c r="Y454" s="275">
        <v>2348</v>
      </c>
      <c r="Z454" s="276">
        <v>1381</v>
      </c>
      <c r="AA454" s="285">
        <v>7053</v>
      </c>
      <c r="AB454" s="295">
        <v>3951.7010143549751</v>
      </c>
    </row>
    <row r="455" spans="1:28" ht="13.5" customHeight="1">
      <c r="A455" s="18">
        <v>35</v>
      </c>
      <c r="B455" s="19" t="s">
        <v>40</v>
      </c>
      <c r="C455" s="274">
        <v>136</v>
      </c>
      <c r="D455" s="275">
        <v>4</v>
      </c>
      <c r="E455" s="275">
        <v>120</v>
      </c>
      <c r="F455" s="275">
        <v>23</v>
      </c>
      <c r="G455" s="275">
        <v>290</v>
      </c>
      <c r="H455" s="275">
        <v>133</v>
      </c>
      <c r="I455" s="275">
        <v>2604</v>
      </c>
      <c r="J455" s="275">
        <v>216</v>
      </c>
      <c r="K455" s="275">
        <v>235</v>
      </c>
      <c r="L455" s="275">
        <v>132</v>
      </c>
      <c r="M455" s="275">
        <v>0</v>
      </c>
      <c r="N455" s="275">
        <v>17</v>
      </c>
      <c r="O455" s="275">
        <v>140</v>
      </c>
      <c r="P455" s="275">
        <v>78</v>
      </c>
      <c r="Q455" s="275">
        <v>657</v>
      </c>
      <c r="R455" s="275">
        <v>516</v>
      </c>
      <c r="S455" s="275">
        <v>304</v>
      </c>
      <c r="T455" s="275">
        <v>131</v>
      </c>
      <c r="U455" s="275">
        <v>5736</v>
      </c>
      <c r="V455" s="276">
        <v>-42</v>
      </c>
      <c r="W455" s="277">
        <v>5694</v>
      </c>
      <c r="X455" s="275">
        <v>260</v>
      </c>
      <c r="Y455" s="275">
        <v>2917</v>
      </c>
      <c r="Z455" s="276">
        <v>2559</v>
      </c>
      <c r="AA455" s="285">
        <v>6667</v>
      </c>
      <c r="AB455" s="295">
        <v>5468.5677906120945</v>
      </c>
    </row>
    <row r="456" spans="1:28" ht="13.5" customHeight="1">
      <c r="A456" s="18">
        <v>36</v>
      </c>
      <c r="B456" s="19" t="s">
        <v>41</v>
      </c>
      <c r="C456" s="274">
        <v>352</v>
      </c>
      <c r="D456" s="275">
        <v>0</v>
      </c>
      <c r="E456" s="275">
        <v>173</v>
      </c>
      <c r="F456" s="275">
        <v>0</v>
      </c>
      <c r="G456" s="275">
        <v>142</v>
      </c>
      <c r="H456" s="275">
        <v>36</v>
      </c>
      <c r="I456" s="275">
        <v>1427</v>
      </c>
      <c r="J456" s="275">
        <v>163</v>
      </c>
      <c r="K456" s="275">
        <v>404</v>
      </c>
      <c r="L456" s="275">
        <v>178</v>
      </c>
      <c r="M456" s="275">
        <v>0</v>
      </c>
      <c r="N456" s="275">
        <v>11</v>
      </c>
      <c r="O456" s="275">
        <v>248</v>
      </c>
      <c r="P456" s="275">
        <v>34</v>
      </c>
      <c r="Q456" s="275">
        <v>639</v>
      </c>
      <c r="R456" s="275">
        <v>346</v>
      </c>
      <c r="S456" s="275">
        <v>377</v>
      </c>
      <c r="T456" s="275">
        <v>128</v>
      </c>
      <c r="U456" s="275">
        <v>4658</v>
      </c>
      <c r="V456" s="276">
        <v>-34</v>
      </c>
      <c r="W456" s="277">
        <v>4624</v>
      </c>
      <c r="X456" s="275">
        <v>525</v>
      </c>
      <c r="Y456" s="275">
        <v>1569</v>
      </c>
      <c r="Z456" s="276">
        <v>2564</v>
      </c>
      <c r="AA456" s="285">
        <v>4832</v>
      </c>
      <c r="AB456" s="295">
        <v>4419.4978073571683</v>
      </c>
    </row>
    <row r="457" spans="1:28" ht="13.5" customHeight="1">
      <c r="A457" s="18">
        <v>37</v>
      </c>
      <c r="B457" s="19" t="s">
        <v>49</v>
      </c>
      <c r="C457" s="274">
        <v>1294</v>
      </c>
      <c r="D457" s="275">
        <v>0</v>
      </c>
      <c r="E457" s="275">
        <v>621</v>
      </c>
      <c r="F457" s="275">
        <v>52</v>
      </c>
      <c r="G457" s="275">
        <v>2183</v>
      </c>
      <c r="H457" s="275">
        <v>1194</v>
      </c>
      <c r="I457" s="275">
        <v>3284</v>
      </c>
      <c r="J457" s="275">
        <v>1243</v>
      </c>
      <c r="K457" s="275">
        <v>908</v>
      </c>
      <c r="L457" s="275">
        <v>1111</v>
      </c>
      <c r="M457" s="275">
        <v>0</v>
      </c>
      <c r="N457" s="275">
        <v>211</v>
      </c>
      <c r="O457" s="275">
        <v>1975</v>
      </c>
      <c r="P457" s="275">
        <v>892</v>
      </c>
      <c r="Q457" s="275">
        <v>4149</v>
      </c>
      <c r="R457" s="275">
        <v>1750</v>
      </c>
      <c r="S457" s="275">
        <v>1986</v>
      </c>
      <c r="T457" s="275">
        <v>1083</v>
      </c>
      <c r="U457" s="275">
        <v>23936</v>
      </c>
      <c r="V457" s="276">
        <v>-176</v>
      </c>
      <c r="W457" s="277">
        <v>23760</v>
      </c>
      <c r="X457" s="275">
        <v>1915</v>
      </c>
      <c r="Y457" s="275">
        <v>5519</v>
      </c>
      <c r="Z457" s="276">
        <v>16502</v>
      </c>
      <c r="AA457" s="285">
        <v>5044</v>
      </c>
      <c r="AB457" s="295">
        <v>22986.678489151855</v>
      </c>
    </row>
    <row r="458" spans="1:28" ht="13.5" customHeight="1">
      <c r="A458" s="20">
        <v>38</v>
      </c>
      <c r="B458" s="21" t="s">
        <v>50</v>
      </c>
      <c r="C458" s="278">
        <v>2720</v>
      </c>
      <c r="D458" s="279">
        <v>0</v>
      </c>
      <c r="E458" s="279">
        <v>144</v>
      </c>
      <c r="F458" s="279">
        <v>86</v>
      </c>
      <c r="G458" s="279">
        <v>2230</v>
      </c>
      <c r="H458" s="279">
        <v>1976</v>
      </c>
      <c r="I458" s="279">
        <v>5580</v>
      </c>
      <c r="J458" s="279">
        <v>3277</v>
      </c>
      <c r="K458" s="279">
        <v>1819</v>
      </c>
      <c r="L458" s="279">
        <v>967</v>
      </c>
      <c r="M458" s="279">
        <v>630</v>
      </c>
      <c r="N458" s="279">
        <v>712</v>
      </c>
      <c r="O458" s="279">
        <v>8745</v>
      </c>
      <c r="P458" s="279">
        <v>2638</v>
      </c>
      <c r="Q458" s="279">
        <v>6654</v>
      </c>
      <c r="R458" s="279">
        <v>6196</v>
      </c>
      <c r="S458" s="279">
        <v>11669</v>
      </c>
      <c r="T458" s="279">
        <v>2762</v>
      </c>
      <c r="U458" s="279">
        <v>58805</v>
      </c>
      <c r="V458" s="280">
        <v>-432</v>
      </c>
      <c r="W458" s="281">
        <v>58373</v>
      </c>
      <c r="X458" s="279">
        <v>2864</v>
      </c>
      <c r="Y458" s="279">
        <v>7896</v>
      </c>
      <c r="Z458" s="280">
        <v>48045</v>
      </c>
      <c r="AA458" s="286">
        <v>4946</v>
      </c>
      <c r="AB458" s="296">
        <v>57126.034257378829</v>
      </c>
    </row>
    <row r="459" spans="1:28" ht="13.5" customHeight="1">
      <c r="A459" s="20">
        <v>39</v>
      </c>
      <c r="B459" s="21" t="s">
        <v>42</v>
      </c>
      <c r="C459" s="266">
        <v>756</v>
      </c>
      <c r="D459" s="267">
        <v>0</v>
      </c>
      <c r="E459" s="267">
        <v>1</v>
      </c>
      <c r="F459" s="267">
        <v>0</v>
      </c>
      <c r="G459" s="267">
        <v>660</v>
      </c>
      <c r="H459" s="267">
        <v>106</v>
      </c>
      <c r="I459" s="267">
        <v>834</v>
      </c>
      <c r="J459" s="267">
        <v>117</v>
      </c>
      <c r="K459" s="267">
        <v>172</v>
      </c>
      <c r="L459" s="267">
        <v>107</v>
      </c>
      <c r="M459" s="267">
        <v>0</v>
      </c>
      <c r="N459" s="267">
        <v>9</v>
      </c>
      <c r="O459" s="267">
        <v>221</v>
      </c>
      <c r="P459" s="267">
        <v>65</v>
      </c>
      <c r="Q459" s="267">
        <v>628</v>
      </c>
      <c r="R459" s="267">
        <v>348</v>
      </c>
      <c r="S459" s="267">
        <v>171</v>
      </c>
      <c r="T459" s="267">
        <v>111</v>
      </c>
      <c r="U459" s="267">
        <v>4306</v>
      </c>
      <c r="V459" s="268">
        <v>-32</v>
      </c>
      <c r="W459" s="269">
        <v>4274</v>
      </c>
      <c r="X459" s="267">
        <v>757</v>
      </c>
      <c r="Y459" s="267">
        <v>1494</v>
      </c>
      <c r="Z459" s="268">
        <v>2055</v>
      </c>
      <c r="AA459" s="283">
        <v>5356</v>
      </c>
      <c r="AB459" s="293">
        <v>4160.5331605310957</v>
      </c>
    </row>
    <row r="460" spans="1:28" ht="13.5" customHeight="1">
      <c r="A460" s="18">
        <v>40</v>
      </c>
      <c r="B460" s="19" t="s">
        <v>43</v>
      </c>
      <c r="C460" s="270">
        <v>1273</v>
      </c>
      <c r="D460" s="271">
        <v>9</v>
      </c>
      <c r="E460" s="271">
        <v>121</v>
      </c>
      <c r="F460" s="271">
        <v>0</v>
      </c>
      <c r="G460" s="271">
        <v>768</v>
      </c>
      <c r="H460" s="271">
        <v>352</v>
      </c>
      <c r="I460" s="271">
        <v>2080</v>
      </c>
      <c r="J460" s="271">
        <v>368</v>
      </c>
      <c r="K460" s="271">
        <v>1102</v>
      </c>
      <c r="L460" s="271">
        <v>2867</v>
      </c>
      <c r="M460" s="271">
        <v>0</v>
      </c>
      <c r="N460" s="271">
        <v>21</v>
      </c>
      <c r="O460" s="271">
        <v>1022</v>
      </c>
      <c r="P460" s="271">
        <v>831</v>
      </c>
      <c r="Q460" s="271">
        <v>617</v>
      </c>
      <c r="R460" s="271">
        <v>1923</v>
      </c>
      <c r="S460" s="271">
        <v>466</v>
      </c>
      <c r="T460" s="271">
        <v>2011</v>
      </c>
      <c r="U460" s="271">
        <v>15831</v>
      </c>
      <c r="V460" s="272">
        <v>-117</v>
      </c>
      <c r="W460" s="273">
        <v>15714</v>
      </c>
      <c r="X460" s="271">
        <v>1403</v>
      </c>
      <c r="Y460" s="271">
        <v>2848</v>
      </c>
      <c r="Z460" s="272">
        <v>11580</v>
      </c>
      <c r="AA460" s="284">
        <v>4932</v>
      </c>
      <c r="AB460" s="294">
        <v>15064.87283031444</v>
      </c>
    </row>
    <row r="461" spans="1:28" ht="13.5" customHeight="1">
      <c r="A461" s="20">
        <v>41</v>
      </c>
      <c r="B461" s="21" t="s">
        <v>44</v>
      </c>
      <c r="C461" s="278">
        <v>194</v>
      </c>
      <c r="D461" s="279">
        <v>0</v>
      </c>
      <c r="E461" s="279">
        <v>38</v>
      </c>
      <c r="F461" s="279">
        <v>121</v>
      </c>
      <c r="G461" s="279">
        <v>259</v>
      </c>
      <c r="H461" s="279">
        <v>278</v>
      </c>
      <c r="I461" s="279">
        <v>3234</v>
      </c>
      <c r="J461" s="279">
        <v>178</v>
      </c>
      <c r="K461" s="279">
        <v>322</v>
      </c>
      <c r="L461" s="279">
        <v>431</v>
      </c>
      <c r="M461" s="279">
        <v>0</v>
      </c>
      <c r="N461" s="279">
        <v>11</v>
      </c>
      <c r="O461" s="279">
        <v>327</v>
      </c>
      <c r="P461" s="279">
        <v>223</v>
      </c>
      <c r="Q461" s="279">
        <v>3091</v>
      </c>
      <c r="R461" s="279">
        <v>654</v>
      </c>
      <c r="S461" s="279">
        <v>424</v>
      </c>
      <c r="T461" s="279">
        <v>224</v>
      </c>
      <c r="U461" s="279">
        <v>10009</v>
      </c>
      <c r="V461" s="280">
        <v>-74</v>
      </c>
      <c r="W461" s="281">
        <v>9935</v>
      </c>
      <c r="X461" s="279">
        <v>232</v>
      </c>
      <c r="Y461" s="279">
        <v>3614</v>
      </c>
      <c r="Z461" s="280">
        <v>6163</v>
      </c>
      <c r="AA461" s="286">
        <v>6637</v>
      </c>
      <c r="AB461" s="296">
        <v>9594.3445932238246</v>
      </c>
    </row>
    <row r="462" spans="1:28" ht="15.75" customHeight="1">
      <c r="A462" s="123" t="s">
        <v>146</v>
      </c>
      <c r="B462" s="7" t="s">
        <v>152</v>
      </c>
      <c r="C462" s="270">
        <v>13449</v>
      </c>
      <c r="D462" s="271">
        <v>214</v>
      </c>
      <c r="E462" s="271">
        <v>2150</v>
      </c>
      <c r="F462" s="271">
        <v>3358</v>
      </c>
      <c r="G462" s="271">
        <v>21873</v>
      </c>
      <c r="H462" s="271">
        <v>23139</v>
      </c>
      <c r="I462" s="271">
        <v>75309</v>
      </c>
      <c r="J462" s="271">
        <v>23166</v>
      </c>
      <c r="K462" s="271">
        <v>17084</v>
      </c>
      <c r="L462" s="271">
        <v>33201</v>
      </c>
      <c r="M462" s="271">
        <v>3969</v>
      </c>
      <c r="N462" s="271">
        <v>6122</v>
      </c>
      <c r="O462" s="271">
        <v>41062</v>
      </c>
      <c r="P462" s="271">
        <v>22747</v>
      </c>
      <c r="Q462" s="271">
        <v>30835</v>
      </c>
      <c r="R462" s="271">
        <v>34039</v>
      </c>
      <c r="S462" s="271">
        <v>52902</v>
      </c>
      <c r="T462" s="271">
        <v>24460</v>
      </c>
      <c r="U462" s="271">
        <v>429079</v>
      </c>
      <c r="V462" s="272">
        <v>-3153</v>
      </c>
      <c r="W462" s="273">
        <v>425926</v>
      </c>
      <c r="X462" s="271">
        <v>15813</v>
      </c>
      <c r="Y462" s="271">
        <v>100540</v>
      </c>
      <c r="Z462" s="272">
        <v>312726</v>
      </c>
      <c r="AA462" s="284">
        <v>5360</v>
      </c>
      <c r="AB462" s="294">
        <v>413339.87840460212</v>
      </c>
    </row>
    <row r="463" spans="1:28" ht="15.75" customHeight="1">
      <c r="A463" s="124" t="s">
        <v>147</v>
      </c>
      <c r="B463" s="17" t="s">
        <v>153</v>
      </c>
      <c r="C463" s="274">
        <v>4705</v>
      </c>
      <c r="D463" s="275">
        <v>17</v>
      </c>
      <c r="E463" s="275">
        <v>1955</v>
      </c>
      <c r="F463" s="275">
        <v>1907</v>
      </c>
      <c r="G463" s="275">
        <v>98434</v>
      </c>
      <c r="H463" s="275">
        <v>91203</v>
      </c>
      <c r="I463" s="275">
        <v>163833</v>
      </c>
      <c r="J463" s="275">
        <v>182099</v>
      </c>
      <c r="K463" s="275">
        <v>62006</v>
      </c>
      <c r="L463" s="275">
        <v>56470</v>
      </c>
      <c r="M463" s="275">
        <v>66159</v>
      </c>
      <c r="N463" s="275">
        <v>40985</v>
      </c>
      <c r="O463" s="275">
        <v>230889</v>
      </c>
      <c r="P463" s="275">
        <v>151186</v>
      </c>
      <c r="Q463" s="275">
        <v>100001</v>
      </c>
      <c r="R463" s="275">
        <v>102799</v>
      </c>
      <c r="S463" s="275">
        <v>211585</v>
      </c>
      <c r="T463" s="275">
        <v>91467</v>
      </c>
      <c r="U463" s="275">
        <v>1657700</v>
      </c>
      <c r="V463" s="276">
        <v>-12184</v>
      </c>
      <c r="W463" s="277">
        <v>1645516</v>
      </c>
      <c r="X463" s="275">
        <v>6677</v>
      </c>
      <c r="Y463" s="275">
        <v>264174</v>
      </c>
      <c r="Z463" s="276">
        <v>1386849</v>
      </c>
      <c r="AA463" s="285">
        <v>5875</v>
      </c>
      <c r="AB463" s="295">
        <v>1615083.0881570918</v>
      </c>
    </row>
    <row r="464" spans="1:28" ht="15.75" customHeight="1">
      <c r="A464" s="124" t="s">
        <v>148</v>
      </c>
      <c r="B464" s="17" t="s">
        <v>154</v>
      </c>
      <c r="C464" s="274">
        <v>14272</v>
      </c>
      <c r="D464" s="275">
        <v>23</v>
      </c>
      <c r="E464" s="275">
        <v>2546</v>
      </c>
      <c r="F464" s="275">
        <v>1509</v>
      </c>
      <c r="G464" s="275">
        <v>43401</v>
      </c>
      <c r="H464" s="275">
        <v>19183</v>
      </c>
      <c r="I464" s="275">
        <v>77089</v>
      </c>
      <c r="J464" s="275">
        <v>53702</v>
      </c>
      <c r="K464" s="275">
        <v>32154</v>
      </c>
      <c r="L464" s="275">
        <v>21301</v>
      </c>
      <c r="M464" s="275">
        <v>9633</v>
      </c>
      <c r="N464" s="275">
        <v>8890</v>
      </c>
      <c r="O464" s="275">
        <v>83035</v>
      </c>
      <c r="P464" s="275">
        <v>37540</v>
      </c>
      <c r="Q464" s="275">
        <v>44889</v>
      </c>
      <c r="R464" s="275">
        <v>41235</v>
      </c>
      <c r="S464" s="275">
        <v>106380</v>
      </c>
      <c r="T464" s="275">
        <v>34526</v>
      </c>
      <c r="U464" s="275">
        <v>631308</v>
      </c>
      <c r="V464" s="276">
        <v>-4638</v>
      </c>
      <c r="W464" s="277">
        <v>626670</v>
      </c>
      <c r="X464" s="275">
        <v>16841</v>
      </c>
      <c r="Y464" s="275">
        <v>121999</v>
      </c>
      <c r="Z464" s="276">
        <v>492468</v>
      </c>
      <c r="AA464" s="285">
        <v>5090</v>
      </c>
      <c r="AB464" s="295">
        <v>612169.35320514662</v>
      </c>
    </row>
    <row r="465" spans="1:28" ht="15.75" customHeight="1">
      <c r="A465" s="124" t="s">
        <v>149</v>
      </c>
      <c r="B465" s="17" t="s">
        <v>155</v>
      </c>
      <c r="C465" s="274">
        <v>311</v>
      </c>
      <c r="D465" s="275">
        <v>46</v>
      </c>
      <c r="E465" s="275">
        <v>2230</v>
      </c>
      <c r="F465" s="275">
        <v>559</v>
      </c>
      <c r="G465" s="275">
        <v>11469</v>
      </c>
      <c r="H465" s="275">
        <v>33223</v>
      </c>
      <c r="I465" s="275">
        <v>86858</v>
      </c>
      <c r="J465" s="275">
        <v>120071</v>
      </c>
      <c r="K465" s="275">
        <v>145784</v>
      </c>
      <c r="L465" s="275">
        <v>55554</v>
      </c>
      <c r="M465" s="275">
        <v>97261</v>
      </c>
      <c r="N465" s="275">
        <v>91241</v>
      </c>
      <c r="O465" s="275">
        <v>143798</v>
      </c>
      <c r="P465" s="275">
        <v>176439</v>
      </c>
      <c r="Q465" s="275">
        <v>210205</v>
      </c>
      <c r="R465" s="275">
        <v>41074</v>
      </c>
      <c r="S465" s="275">
        <v>121513</v>
      </c>
      <c r="T465" s="275">
        <v>57217</v>
      </c>
      <c r="U465" s="275">
        <v>1394853</v>
      </c>
      <c r="V465" s="276">
        <v>-10250</v>
      </c>
      <c r="W465" s="277">
        <v>1384603</v>
      </c>
      <c r="X465" s="275">
        <v>2587</v>
      </c>
      <c r="Y465" s="275">
        <v>98886</v>
      </c>
      <c r="Z465" s="276">
        <v>1293380</v>
      </c>
      <c r="AA465" s="285">
        <v>7104</v>
      </c>
      <c r="AB465" s="295">
        <v>1353848.0089540491</v>
      </c>
    </row>
    <row r="466" spans="1:28" ht="15.75" customHeight="1">
      <c r="A466" s="124" t="s">
        <v>150</v>
      </c>
      <c r="B466" s="17" t="s">
        <v>156</v>
      </c>
      <c r="C466" s="274">
        <v>7548</v>
      </c>
      <c r="D466" s="275">
        <v>57</v>
      </c>
      <c r="E466" s="275">
        <v>721</v>
      </c>
      <c r="F466" s="275">
        <v>363</v>
      </c>
      <c r="G466" s="275">
        <v>8624</v>
      </c>
      <c r="H466" s="275">
        <v>7140</v>
      </c>
      <c r="I466" s="275">
        <v>39247</v>
      </c>
      <c r="J466" s="275">
        <v>18930</v>
      </c>
      <c r="K466" s="275">
        <v>10785</v>
      </c>
      <c r="L466" s="275">
        <v>9538</v>
      </c>
      <c r="M466" s="275">
        <v>1961</v>
      </c>
      <c r="N466" s="275">
        <v>2606</v>
      </c>
      <c r="O466" s="275">
        <v>16555</v>
      </c>
      <c r="P466" s="275">
        <v>12484</v>
      </c>
      <c r="Q466" s="275">
        <v>23657</v>
      </c>
      <c r="R466" s="275">
        <v>10387</v>
      </c>
      <c r="S466" s="275">
        <v>20839</v>
      </c>
      <c r="T466" s="275">
        <v>7373</v>
      </c>
      <c r="U466" s="275">
        <v>198815</v>
      </c>
      <c r="V466" s="276">
        <v>-1462</v>
      </c>
      <c r="W466" s="277">
        <v>197353</v>
      </c>
      <c r="X466" s="275">
        <v>8326</v>
      </c>
      <c r="Y466" s="275">
        <v>48234</v>
      </c>
      <c r="Z466" s="276">
        <v>142255</v>
      </c>
      <c r="AA466" s="285">
        <v>6143</v>
      </c>
      <c r="AB466" s="295">
        <v>190950.44489168358</v>
      </c>
    </row>
    <row r="467" spans="1:28" ht="15.75" customHeight="1">
      <c r="A467" s="125" t="s">
        <v>151</v>
      </c>
      <c r="B467" s="117" t="s">
        <v>157</v>
      </c>
      <c r="C467" s="278">
        <v>6656</v>
      </c>
      <c r="D467" s="279">
        <v>33</v>
      </c>
      <c r="E467" s="279">
        <v>914</v>
      </c>
      <c r="F467" s="279">
        <v>432</v>
      </c>
      <c r="G467" s="279">
        <v>5631</v>
      </c>
      <c r="H467" s="279">
        <v>8150</v>
      </c>
      <c r="I467" s="279">
        <v>31202</v>
      </c>
      <c r="J467" s="279">
        <v>12720</v>
      </c>
      <c r="K467" s="279">
        <v>16704</v>
      </c>
      <c r="L467" s="279">
        <v>14716</v>
      </c>
      <c r="M467" s="279">
        <v>1598</v>
      </c>
      <c r="N467" s="279">
        <v>2787</v>
      </c>
      <c r="O467" s="279">
        <v>18244</v>
      </c>
      <c r="P467" s="279">
        <v>15815</v>
      </c>
      <c r="Q467" s="279">
        <v>24489</v>
      </c>
      <c r="R467" s="279">
        <v>11509</v>
      </c>
      <c r="S467" s="279">
        <v>15019</v>
      </c>
      <c r="T467" s="279">
        <v>10163</v>
      </c>
      <c r="U467" s="279">
        <v>196782</v>
      </c>
      <c r="V467" s="280">
        <v>-1447</v>
      </c>
      <c r="W467" s="281">
        <v>195335</v>
      </c>
      <c r="X467" s="279">
        <v>7603</v>
      </c>
      <c r="Y467" s="279">
        <v>37265</v>
      </c>
      <c r="Z467" s="280">
        <v>151914</v>
      </c>
      <c r="AA467" s="286">
        <v>6408</v>
      </c>
      <c r="AB467" s="296">
        <v>188904.02479879989</v>
      </c>
    </row>
    <row r="468" spans="1:28" ht="15.75" customHeight="1">
      <c r="B468" s="25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</row>
    <row r="470" spans="1:28" ht="13.5" customHeight="1">
      <c r="A470" s="56">
        <f>A418+1</f>
        <v>2</v>
      </c>
      <c r="B470" s="51" t="str">
        <f>IF(A470&lt;22,"令和"&amp;A470&amp;"年度","平成"&amp;A470&amp;"年度")</f>
        <v>令和2年度</v>
      </c>
      <c r="C470" s="57" t="str">
        <f>C$2</f>
        <v>経済活動別市町村内総生産（百万円）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1"/>
      <c r="Y470" s="2"/>
      <c r="Z470" s="58"/>
      <c r="AA470" s="58"/>
      <c r="AB470" s="58"/>
    </row>
    <row r="471" spans="1:28" ht="45" customHeight="1">
      <c r="A471" s="198"/>
      <c r="B471" s="88"/>
      <c r="C471" s="89" t="s">
        <v>51</v>
      </c>
      <c r="D471" s="89" t="s">
        <v>52</v>
      </c>
      <c r="E471" s="89" t="s">
        <v>53</v>
      </c>
      <c r="F471" s="89" t="s">
        <v>54</v>
      </c>
      <c r="G471" s="89" t="s">
        <v>55</v>
      </c>
      <c r="H471" s="89" t="s">
        <v>56</v>
      </c>
      <c r="I471" s="89" t="s">
        <v>57</v>
      </c>
      <c r="J471" s="89" t="s">
        <v>58</v>
      </c>
      <c r="K471" s="89" t="s">
        <v>59</v>
      </c>
      <c r="L471" s="89" t="s">
        <v>60</v>
      </c>
      <c r="M471" s="89" t="s">
        <v>61</v>
      </c>
      <c r="N471" s="89" t="s">
        <v>62</v>
      </c>
      <c r="O471" s="89" t="s">
        <v>63</v>
      </c>
      <c r="P471" s="89" t="s">
        <v>64</v>
      </c>
      <c r="Q471" s="89" t="s">
        <v>65</v>
      </c>
      <c r="R471" s="89" t="s">
        <v>66</v>
      </c>
      <c r="S471" s="89" t="s">
        <v>67</v>
      </c>
      <c r="T471" s="89" t="s">
        <v>68</v>
      </c>
      <c r="U471" s="89" t="s">
        <v>70</v>
      </c>
      <c r="V471" s="90" t="s">
        <v>69</v>
      </c>
      <c r="W471" s="91" t="s">
        <v>71</v>
      </c>
      <c r="X471" s="89" t="s">
        <v>72</v>
      </c>
      <c r="Y471" s="89" t="s">
        <v>73</v>
      </c>
      <c r="Z471" s="89" t="s">
        <v>74</v>
      </c>
      <c r="AA471" s="282" t="s">
        <v>277</v>
      </c>
      <c r="AB471" s="292" t="s">
        <v>278</v>
      </c>
    </row>
    <row r="472" spans="1:28" ht="13.5" customHeight="1">
      <c r="A472" s="165" t="s">
        <v>160</v>
      </c>
      <c r="B472" s="22" t="s">
        <v>0</v>
      </c>
      <c r="C472" s="266">
        <v>37606</v>
      </c>
      <c r="D472" s="267">
        <v>419</v>
      </c>
      <c r="E472" s="267">
        <v>8631</v>
      </c>
      <c r="F472" s="267">
        <v>8681</v>
      </c>
      <c r="G472" s="267">
        <v>204700</v>
      </c>
      <c r="H472" s="267">
        <v>186091</v>
      </c>
      <c r="I472" s="267">
        <v>389869</v>
      </c>
      <c r="J472" s="267">
        <v>383715</v>
      </c>
      <c r="K472" s="267">
        <v>192488</v>
      </c>
      <c r="L472" s="267">
        <v>111341</v>
      </c>
      <c r="M472" s="267">
        <v>179786</v>
      </c>
      <c r="N472" s="267">
        <v>150230</v>
      </c>
      <c r="O472" s="267">
        <v>548898</v>
      </c>
      <c r="P472" s="267">
        <v>423251</v>
      </c>
      <c r="Q472" s="267">
        <v>418567</v>
      </c>
      <c r="R472" s="267">
        <v>248052</v>
      </c>
      <c r="S472" s="267">
        <v>531428</v>
      </c>
      <c r="T472" s="267">
        <v>206363</v>
      </c>
      <c r="U472" s="267">
        <v>4230116</v>
      </c>
      <c r="V472" s="268">
        <v>-29095</v>
      </c>
      <c r="W472" s="269">
        <v>4201021</v>
      </c>
      <c r="X472" s="267">
        <v>46656</v>
      </c>
      <c r="Y472" s="267">
        <v>603250</v>
      </c>
      <c r="Z472" s="268">
        <v>3580210</v>
      </c>
      <c r="AA472" s="283">
        <v>5733</v>
      </c>
      <c r="AB472" s="293">
        <v>4080020</v>
      </c>
    </row>
    <row r="473" spans="1:28" ht="13.5" customHeight="1">
      <c r="A473" s="16" t="s">
        <v>1</v>
      </c>
      <c r="B473" s="17" t="s">
        <v>2</v>
      </c>
      <c r="C473" s="270">
        <v>284</v>
      </c>
      <c r="D473" s="271">
        <v>52</v>
      </c>
      <c r="E473" s="271">
        <v>1611</v>
      </c>
      <c r="F473" s="271">
        <v>601</v>
      </c>
      <c r="G473" s="271">
        <v>14211</v>
      </c>
      <c r="H473" s="271">
        <v>32955</v>
      </c>
      <c r="I473" s="271">
        <v>70240</v>
      </c>
      <c r="J473" s="271">
        <v>111741</v>
      </c>
      <c r="K473" s="271">
        <v>73671</v>
      </c>
      <c r="L473" s="271">
        <v>32359</v>
      </c>
      <c r="M473" s="271">
        <v>97274</v>
      </c>
      <c r="N473" s="271">
        <v>89262</v>
      </c>
      <c r="O473" s="271">
        <v>146879</v>
      </c>
      <c r="P473" s="271">
        <v>178465</v>
      </c>
      <c r="Q473" s="271">
        <v>196715</v>
      </c>
      <c r="R473" s="271">
        <v>42406</v>
      </c>
      <c r="S473" s="271">
        <v>122698</v>
      </c>
      <c r="T473" s="271">
        <v>52822</v>
      </c>
      <c r="U473" s="271">
        <v>1264246</v>
      </c>
      <c r="V473" s="272">
        <v>-8697</v>
      </c>
      <c r="W473" s="273">
        <v>1255549</v>
      </c>
      <c r="X473" s="271">
        <v>1947</v>
      </c>
      <c r="Y473" s="271">
        <v>85052</v>
      </c>
      <c r="Z473" s="272">
        <v>1177247</v>
      </c>
      <c r="AA473" s="284">
        <v>6474</v>
      </c>
      <c r="AB473" s="294">
        <v>1224992.3331017012</v>
      </c>
    </row>
    <row r="474" spans="1:28" ht="13.5" customHeight="1">
      <c r="A474" s="18" t="s">
        <v>3</v>
      </c>
      <c r="B474" s="19" t="s">
        <v>4</v>
      </c>
      <c r="C474" s="274">
        <v>67</v>
      </c>
      <c r="D474" s="275">
        <v>0</v>
      </c>
      <c r="E474" s="275">
        <v>121</v>
      </c>
      <c r="F474" s="275">
        <v>541</v>
      </c>
      <c r="G474" s="275">
        <v>12589</v>
      </c>
      <c r="H474" s="275">
        <v>8118</v>
      </c>
      <c r="I474" s="275">
        <v>21239</v>
      </c>
      <c r="J474" s="275">
        <v>22529</v>
      </c>
      <c r="K474" s="275">
        <v>5050</v>
      </c>
      <c r="L474" s="275">
        <v>4944</v>
      </c>
      <c r="M474" s="275">
        <v>13240</v>
      </c>
      <c r="N474" s="275">
        <v>4867</v>
      </c>
      <c r="O474" s="275">
        <v>37921</v>
      </c>
      <c r="P474" s="275">
        <v>22198</v>
      </c>
      <c r="Q474" s="275">
        <v>9506</v>
      </c>
      <c r="R474" s="275">
        <v>13035</v>
      </c>
      <c r="S474" s="275">
        <v>21513</v>
      </c>
      <c r="T474" s="275">
        <v>11444</v>
      </c>
      <c r="U474" s="275">
        <v>208922</v>
      </c>
      <c r="V474" s="276">
        <v>-1437</v>
      </c>
      <c r="W474" s="277">
        <v>207485</v>
      </c>
      <c r="X474" s="275">
        <v>188</v>
      </c>
      <c r="Y474" s="275">
        <v>34369</v>
      </c>
      <c r="Z474" s="276">
        <v>174365</v>
      </c>
      <c r="AA474" s="285">
        <v>5562</v>
      </c>
      <c r="AB474" s="295">
        <v>202240.23942486377</v>
      </c>
    </row>
    <row r="475" spans="1:28" ht="13.5" customHeight="1">
      <c r="A475" s="18" t="s">
        <v>5</v>
      </c>
      <c r="B475" s="19" t="s">
        <v>6</v>
      </c>
      <c r="C475" s="274">
        <v>3987</v>
      </c>
      <c r="D475" s="275">
        <v>25</v>
      </c>
      <c r="E475" s="275">
        <v>590</v>
      </c>
      <c r="F475" s="275">
        <v>330</v>
      </c>
      <c r="G475" s="275">
        <v>3917</v>
      </c>
      <c r="H475" s="275">
        <v>7791</v>
      </c>
      <c r="I475" s="275">
        <v>20916</v>
      </c>
      <c r="J475" s="275">
        <v>11468</v>
      </c>
      <c r="K475" s="275">
        <v>10086</v>
      </c>
      <c r="L475" s="275">
        <v>5745</v>
      </c>
      <c r="M475" s="275">
        <v>1450</v>
      </c>
      <c r="N475" s="275">
        <v>2655</v>
      </c>
      <c r="O475" s="275">
        <v>17623</v>
      </c>
      <c r="P475" s="275">
        <v>14676</v>
      </c>
      <c r="Q475" s="275">
        <v>19961</v>
      </c>
      <c r="R475" s="275">
        <v>9269</v>
      </c>
      <c r="S475" s="275">
        <v>14260</v>
      </c>
      <c r="T475" s="275">
        <v>7334</v>
      </c>
      <c r="U475" s="275">
        <v>152083</v>
      </c>
      <c r="V475" s="276">
        <v>-1046</v>
      </c>
      <c r="W475" s="277">
        <v>151037</v>
      </c>
      <c r="X475" s="275">
        <v>4602</v>
      </c>
      <c r="Y475" s="275">
        <v>25163</v>
      </c>
      <c r="Z475" s="276">
        <v>122318</v>
      </c>
      <c r="AA475" s="285">
        <v>6132</v>
      </c>
      <c r="AB475" s="295">
        <v>145080.96550817508</v>
      </c>
    </row>
    <row r="476" spans="1:28" ht="13.5" customHeight="1">
      <c r="A476" s="18" t="s">
        <v>7</v>
      </c>
      <c r="B476" s="19" t="s">
        <v>8</v>
      </c>
      <c r="C476" s="274">
        <v>17</v>
      </c>
      <c r="D476" s="275">
        <v>2</v>
      </c>
      <c r="E476" s="275">
        <v>147</v>
      </c>
      <c r="F476" s="275">
        <v>150</v>
      </c>
      <c r="G476" s="275">
        <v>20859</v>
      </c>
      <c r="H476" s="275">
        <v>16809</v>
      </c>
      <c r="I476" s="275">
        <v>23271</v>
      </c>
      <c r="J476" s="275">
        <v>71392</v>
      </c>
      <c r="K476" s="275">
        <v>22882</v>
      </c>
      <c r="L476" s="275">
        <v>6326</v>
      </c>
      <c r="M476" s="275">
        <v>30252</v>
      </c>
      <c r="N476" s="275">
        <v>12146</v>
      </c>
      <c r="O476" s="275">
        <v>46537</v>
      </c>
      <c r="P476" s="275">
        <v>48961</v>
      </c>
      <c r="Q476" s="275">
        <v>14216</v>
      </c>
      <c r="R476" s="275">
        <v>18954</v>
      </c>
      <c r="S476" s="275">
        <v>42270</v>
      </c>
      <c r="T476" s="275">
        <v>16925</v>
      </c>
      <c r="U476" s="275">
        <v>392116</v>
      </c>
      <c r="V476" s="276">
        <v>-2697</v>
      </c>
      <c r="W476" s="277">
        <v>389419</v>
      </c>
      <c r="X476" s="275">
        <v>166</v>
      </c>
      <c r="Y476" s="275">
        <v>44280</v>
      </c>
      <c r="Z476" s="276">
        <v>347670</v>
      </c>
      <c r="AA476" s="285">
        <v>6435</v>
      </c>
      <c r="AB476" s="295">
        <v>379881.14458581689</v>
      </c>
    </row>
    <row r="477" spans="1:28" ht="13.5" customHeight="1">
      <c r="A477" s="16" t="s">
        <v>9</v>
      </c>
      <c r="B477" s="17" t="s">
        <v>10</v>
      </c>
      <c r="C477" s="274">
        <v>1999</v>
      </c>
      <c r="D477" s="275">
        <v>77</v>
      </c>
      <c r="E477" s="275">
        <v>363</v>
      </c>
      <c r="F477" s="275">
        <v>1895</v>
      </c>
      <c r="G477" s="275">
        <v>13400</v>
      </c>
      <c r="H477" s="275">
        <v>7768</v>
      </c>
      <c r="I477" s="275">
        <v>25547</v>
      </c>
      <c r="J477" s="275">
        <v>15075</v>
      </c>
      <c r="K477" s="275">
        <v>6653</v>
      </c>
      <c r="L477" s="275">
        <v>6525</v>
      </c>
      <c r="M477" s="275">
        <v>2679</v>
      </c>
      <c r="N477" s="275">
        <v>4528</v>
      </c>
      <c r="O477" s="275">
        <v>21822</v>
      </c>
      <c r="P477" s="275">
        <v>15461</v>
      </c>
      <c r="Q477" s="275">
        <v>14213</v>
      </c>
      <c r="R477" s="275">
        <v>15445</v>
      </c>
      <c r="S477" s="275">
        <v>33154</v>
      </c>
      <c r="T477" s="275">
        <v>8439</v>
      </c>
      <c r="U477" s="275">
        <v>195043</v>
      </c>
      <c r="V477" s="276">
        <v>-1341</v>
      </c>
      <c r="W477" s="277">
        <v>193702</v>
      </c>
      <c r="X477" s="275">
        <v>2439</v>
      </c>
      <c r="Y477" s="275">
        <v>40842</v>
      </c>
      <c r="Z477" s="276">
        <v>151762</v>
      </c>
      <c r="AA477" s="285">
        <v>5561</v>
      </c>
      <c r="AB477" s="295">
        <v>187687.9349237319</v>
      </c>
    </row>
    <row r="478" spans="1:28" ht="13.5" customHeight="1">
      <c r="A478" s="18" t="s">
        <v>11</v>
      </c>
      <c r="B478" s="19" t="s">
        <v>12</v>
      </c>
      <c r="C478" s="274">
        <v>2734</v>
      </c>
      <c r="D478" s="275">
        <v>0</v>
      </c>
      <c r="E478" s="275">
        <v>365</v>
      </c>
      <c r="F478" s="275">
        <v>1051</v>
      </c>
      <c r="G478" s="275">
        <v>20203</v>
      </c>
      <c r="H478" s="275">
        <v>3484</v>
      </c>
      <c r="I478" s="275">
        <v>14699</v>
      </c>
      <c r="J478" s="275">
        <v>10507</v>
      </c>
      <c r="K478" s="275">
        <v>8295</v>
      </c>
      <c r="L478" s="275">
        <v>3348</v>
      </c>
      <c r="M478" s="275">
        <v>726</v>
      </c>
      <c r="N478" s="275">
        <v>2111</v>
      </c>
      <c r="O478" s="275">
        <v>18953</v>
      </c>
      <c r="P478" s="275">
        <v>4701</v>
      </c>
      <c r="Q478" s="275">
        <v>8460</v>
      </c>
      <c r="R478" s="275">
        <v>10328</v>
      </c>
      <c r="S478" s="275">
        <v>19711</v>
      </c>
      <c r="T478" s="275">
        <v>7445</v>
      </c>
      <c r="U478" s="275">
        <v>137121</v>
      </c>
      <c r="V478" s="276">
        <v>-943</v>
      </c>
      <c r="W478" s="277">
        <v>136178</v>
      </c>
      <c r="X478" s="275">
        <v>3099</v>
      </c>
      <c r="Y478" s="275">
        <v>35953</v>
      </c>
      <c r="Z478" s="276">
        <v>98069</v>
      </c>
      <c r="AA478" s="285">
        <v>4658</v>
      </c>
      <c r="AB478" s="295">
        <v>131821.33696714116</v>
      </c>
    </row>
    <row r="479" spans="1:28" ht="13.5" customHeight="1">
      <c r="A479" s="18" t="s">
        <v>13</v>
      </c>
      <c r="B479" s="19" t="s">
        <v>14</v>
      </c>
      <c r="C479" s="274">
        <v>668</v>
      </c>
      <c r="D479" s="275">
        <v>5</v>
      </c>
      <c r="E479" s="275">
        <v>139</v>
      </c>
      <c r="F479" s="275">
        <v>300</v>
      </c>
      <c r="G479" s="275">
        <v>13100</v>
      </c>
      <c r="H479" s="275">
        <v>11031</v>
      </c>
      <c r="I479" s="275">
        <v>27924</v>
      </c>
      <c r="J479" s="275">
        <v>22841</v>
      </c>
      <c r="K479" s="275">
        <v>9264</v>
      </c>
      <c r="L479" s="275">
        <v>8693</v>
      </c>
      <c r="M479" s="275">
        <v>3121</v>
      </c>
      <c r="N479" s="275">
        <v>10859</v>
      </c>
      <c r="O479" s="275">
        <v>51627</v>
      </c>
      <c r="P479" s="275">
        <v>34174</v>
      </c>
      <c r="Q479" s="275">
        <v>28697</v>
      </c>
      <c r="R479" s="275">
        <v>20010</v>
      </c>
      <c r="S479" s="275">
        <v>56853</v>
      </c>
      <c r="T479" s="275">
        <v>18040</v>
      </c>
      <c r="U479" s="275">
        <v>317346</v>
      </c>
      <c r="V479" s="276">
        <v>-2183</v>
      </c>
      <c r="W479" s="277">
        <v>315163</v>
      </c>
      <c r="X479" s="275">
        <v>812</v>
      </c>
      <c r="Y479" s="275">
        <v>41324</v>
      </c>
      <c r="Z479" s="276">
        <v>275210</v>
      </c>
      <c r="AA479" s="285">
        <v>5666</v>
      </c>
      <c r="AB479" s="295">
        <v>306783.83738222561</v>
      </c>
    </row>
    <row r="480" spans="1:28" ht="13.5" customHeight="1">
      <c r="A480" s="18" t="s">
        <v>15</v>
      </c>
      <c r="B480" s="19" t="s">
        <v>45</v>
      </c>
      <c r="C480" s="274">
        <v>827</v>
      </c>
      <c r="D480" s="275">
        <v>0</v>
      </c>
      <c r="E480" s="275">
        <v>231</v>
      </c>
      <c r="F480" s="275">
        <v>0</v>
      </c>
      <c r="G480" s="275">
        <v>5702</v>
      </c>
      <c r="H480" s="275">
        <v>4155</v>
      </c>
      <c r="I480" s="275">
        <v>14913</v>
      </c>
      <c r="J480" s="275">
        <v>15145</v>
      </c>
      <c r="K480" s="275">
        <v>7676</v>
      </c>
      <c r="L480" s="275">
        <v>3539</v>
      </c>
      <c r="M480" s="275">
        <v>7454</v>
      </c>
      <c r="N480" s="275">
        <v>2309</v>
      </c>
      <c r="O480" s="275">
        <v>21730</v>
      </c>
      <c r="P480" s="275">
        <v>19648</v>
      </c>
      <c r="Q480" s="275">
        <v>6613</v>
      </c>
      <c r="R480" s="275">
        <v>7924</v>
      </c>
      <c r="S480" s="275">
        <v>29890</v>
      </c>
      <c r="T480" s="275">
        <v>6864</v>
      </c>
      <c r="U480" s="275">
        <v>154620</v>
      </c>
      <c r="V480" s="276">
        <v>-1063</v>
      </c>
      <c r="W480" s="277">
        <v>153557</v>
      </c>
      <c r="X480" s="275">
        <v>1058</v>
      </c>
      <c r="Y480" s="275">
        <v>20615</v>
      </c>
      <c r="Z480" s="276">
        <v>132947</v>
      </c>
      <c r="AA480" s="285">
        <v>5347</v>
      </c>
      <c r="AB480" s="295">
        <v>149067.19954113715</v>
      </c>
    </row>
    <row r="481" spans="1:28" ht="13.5" customHeight="1">
      <c r="A481" s="18" t="s">
        <v>16</v>
      </c>
      <c r="B481" s="19" t="s">
        <v>46</v>
      </c>
      <c r="C481" s="274">
        <v>1674</v>
      </c>
      <c r="D481" s="275">
        <v>2</v>
      </c>
      <c r="E481" s="275">
        <v>953</v>
      </c>
      <c r="F481" s="275">
        <v>511</v>
      </c>
      <c r="G481" s="275">
        <v>25206</v>
      </c>
      <c r="H481" s="275">
        <v>26591</v>
      </c>
      <c r="I481" s="275">
        <v>23852</v>
      </c>
      <c r="J481" s="275">
        <v>21703</v>
      </c>
      <c r="K481" s="275">
        <v>9475</v>
      </c>
      <c r="L481" s="275">
        <v>5480</v>
      </c>
      <c r="M481" s="275">
        <v>7585</v>
      </c>
      <c r="N481" s="275">
        <v>5294</v>
      </c>
      <c r="O481" s="275">
        <v>41389</v>
      </c>
      <c r="P481" s="275">
        <v>26302</v>
      </c>
      <c r="Q481" s="275">
        <v>21460</v>
      </c>
      <c r="R481" s="275">
        <v>16507</v>
      </c>
      <c r="S481" s="275">
        <v>35662</v>
      </c>
      <c r="T481" s="275">
        <v>13819</v>
      </c>
      <c r="U481" s="275">
        <v>283465</v>
      </c>
      <c r="V481" s="276">
        <v>-1949</v>
      </c>
      <c r="W481" s="277">
        <v>281516</v>
      </c>
      <c r="X481" s="275">
        <v>2629</v>
      </c>
      <c r="Y481" s="275">
        <v>49569</v>
      </c>
      <c r="Z481" s="276">
        <v>231267</v>
      </c>
      <c r="AA481" s="285">
        <v>5837</v>
      </c>
      <c r="AB481" s="295">
        <v>274247.71063723642</v>
      </c>
    </row>
    <row r="482" spans="1:28" ht="13.5" customHeight="1">
      <c r="A482" s="18">
        <v>10</v>
      </c>
      <c r="B482" s="19" t="s">
        <v>47</v>
      </c>
      <c r="C482" s="274">
        <v>6005</v>
      </c>
      <c r="D482" s="275">
        <v>65</v>
      </c>
      <c r="E482" s="275">
        <v>590</v>
      </c>
      <c r="F482" s="275">
        <v>390</v>
      </c>
      <c r="G482" s="275">
        <v>7707</v>
      </c>
      <c r="H482" s="275">
        <v>7144</v>
      </c>
      <c r="I482" s="275">
        <v>29722</v>
      </c>
      <c r="J482" s="275">
        <v>17582</v>
      </c>
      <c r="K482" s="275">
        <v>7531</v>
      </c>
      <c r="L482" s="275">
        <v>5129</v>
      </c>
      <c r="M482" s="275">
        <v>1947</v>
      </c>
      <c r="N482" s="275">
        <v>2629</v>
      </c>
      <c r="O482" s="275">
        <v>17100</v>
      </c>
      <c r="P482" s="275">
        <v>12881</v>
      </c>
      <c r="Q482" s="275">
        <v>25643</v>
      </c>
      <c r="R482" s="275">
        <v>10082</v>
      </c>
      <c r="S482" s="275">
        <v>20545</v>
      </c>
      <c r="T482" s="275">
        <v>6850</v>
      </c>
      <c r="U482" s="275">
        <v>179542</v>
      </c>
      <c r="V482" s="276">
        <v>-1235</v>
      </c>
      <c r="W482" s="277">
        <v>178307</v>
      </c>
      <c r="X482" s="275">
        <v>6660</v>
      </c>
      <c r="Y482" s="275">
        <v>37819</v>
      </c>
      <c r="Z482" s="276">
        <v>135063</v>
      </c>
      <c r="AA482" s="285">
        <v>5701</v>
      </c>
      <c r="AB482" s="295">
        <v>171328.505368793</v>
      </c>
    </row>
    <row r="483" spans="1:28" ht="13.5" customHeight="1">
      <c r="A483" s="20">
        <v>11</v>
      </c>
      <c r="B483" s="21" t="s">
        <v>48</v>
      </c>
      <c r="C483" s="278">
        <v>2351</v>
      </c>
      <c r="D483" s="279">
        <v>7</v>
      </c>
      <c r="E483" s="279">
        <v>509</v>
      </c>
      <c r="F483" s="279">
        <v>150</v>
      </c>
      <c r="G483" s="279">
        <v>8500</v>
      </c>
      <c r="H483" s="279">
        <v>3697</v>
      </c>
      <c r="I483" s="279">
        <v>11833</v>
      </c>
      <c r="J483" s="279">
        <v>4010</v>
      </c>
      <c r="K483" s="279">
        <v>3605</v>
      </c>
      <c r="L483" s="279">
        <v>1232</v>
      </c>
      <c r="M483" s="279">
        <v>1638</v>
      </c>
      <c r="N483" s="279">
        <v>412</v>
      </c>
      <c r="O483" s="279">
        <v>12797</v>
      </c>
      <c r="P483" s="279">
        <v>4112</v>
      </c>
      <c r="Q483" s="279">
        <v>9192</v>
      </c>
      <c r="R483" s="279">
        <v>4450</v>
      </c>
      <c r="S483" s="279">
        <v>10468</v>
      </c>
      <c r="T483" s="279">
        <v>4769</v>
      </c>
      <c r="U483" s="279">
        <v>83732</v>
      </c>
      <c r="V483" s="280">
        <v>-576</v>
      </c>
      <c r="W483" s="281">
        <v>83156</v>
      </c>
      <c r="X483" s="279">
        <v>2867</v>
      </c>
      <c r="Y483" s="279">
        <v>20483</v>
      </c>
      <c r="Z483" s="280">
        <v>60382</v>
      </c>
      <c r="AA483" s="286">
        <v>4773</v>
      </c>
      <c r="AB483" s="296">
        <v>80644.803314928708</v>
      </c>
    </row>
    <row r="484" spans="1:28" ht="13.5" customHeight="1">
      <c r="A484" s="18">
        <v>12</v>
      </c>
      <c r="B484" s="19" t="s">
        <v>17</v>
      </c>
      <c r="C484" s="270">
        <v>1428</v>
      </c>
      <c r="D484" s="271">
        <v>88</v>
      </c>
      <c r="E484" s="271">
        <v>33</v>
      </c>
      <c r="F484" s="271">
        <v>30</v>
      </c>
      <c r="G484" s="271">
        <v>277</v>
      </c>
      <c r="H484" s="271">
        <v>549</v>
      </c>
      <c r="I484" s="271">
        <v>1407</v>
      </c>
      <c r="J484" s="271">
        <v>445</v>
      </c>
      <c r="K484" s="271">
        <v>134</v>
      </c>
      <c r="L484" s="271">
        <v>639</v>
      </c>
      <c r="M484" s="271">
        <v>0</v>
      </c>
      <c r="N484" s="271">
        <v>158</v>
      </c>
      <c r="O484" s="271">
        <v>1112</v>
      </c>
      <c r="P484" s="271">
        <v>126</v>
      </c>
      <c r="Q484" s="271">
        <v>1505</v>
      </c>
      <c r="R484" s="271">
        <v>886</v>
      </c>
      <c r="S484" s="271">
        <v>862</v>
      </c>
      <c r="T484" s="271">
        <v>565</v>
      </c>
      <c r="U484" s="271">
        <v>10244</v>
      </c>
      <c r="V484" s="272">
        <v>-70</v>
      </c>
      <c r="W484" s="273">
        <v>10174</v>
      </c>
      <c r="X484" s="271">
        <v>1549</v>
      </c>
      <c r="Y484" s="271">
        <v>1714</v>
      </c>
      <c r="Z484" s="272">
        <v>6981</v>
      </c>
      <c r="AA484" s="284">
        <v>3514</v>
      </c>
      <c r="AB484" s="294">
        <v>9686.4202509944589</v>
      </c>
    </row>
    <row r="485" spans="1:28" ht="13.5" customHeight="1">
      <c r="A485" s="18">
        <v>13</v>
      </c>
      <c r="B485" s="19" t="s">
        <v>18</v>
      </c>
      <c r="C485" s="274">
        <v>1109</v>
      </c>
      <c r="D485" s="275">
        <v>10</v>
      </c>
      <c r="E485" s="275">
        <v>249</v>
      </c>
      <c r="F485" s="275">
        <v>0</v>
      </c>
      <c r="G485" s="275">
        <v>154</v>
      </c>
      <c r="H485" s="275">
        <v>309</v>
      </c>
      <c r="I485" s="275">
        <v>1283</v>
      </c>
      <c r="J485" s="275">
        <v>177</v>
      </c>
      <c r="K485" s="275">
        <v>597</v>
      </c>
      <c r="L485" s="275">
        <v>56</v>
      </c>
      <c r="M485" s="275">
        <v>0</v>
      </c>
      <c r="N485" s="275">
        <v>2</v>
      </c>
      <c r="O485" s="275">
        <v>788</v>
      </c>
      <c r="P485" s="275">
        <v>195</v>
      </c>
      <c r="Q485" s="275">
        <v>925</v>
      </c>
      <c r="R485" s="275">
        <v>671</v>
      </c>
      <c r="S485" s="275">
        <v>839</v>
      </c>
      <c r="T485" s="275">
        <v>341</v>
      </c>
      <c r="U485" s="275">
        <v>7705</v>
      </c>
      <c r="V485" s="276">
        <v>-53</v>
      </c>
      <c r="W485" s="277">
        <v>7652</v>
      </c>
      <c r="X485" s="275">
        <v>1368</v>
      </c>
      <c r="Y485" s="275">
        <v>1437</v>
      </c>
      <c r="Z485" s="276">
        <v>4900</v>
      </c>
      <c r="AA485" s="285">
        <v>4235</v>
      </c>
      <c r="AB485" s="295">
        <v>7217.6371737618074</v>
      </c>
    </row>
    <row r="486" spans="1:28" ht="13.5" customHeight="1">
      <c r="A486" s="18">
        <v>14</v>
      </c>
      <c r="B486" s="19" t="s">
        <v>19</v>
      </c>
      <c r="C486" s="274">
        <v>584</v>
      </c>
      <c r="D486" s="275">
        <v>7</v>
      </c>
      <c r="E486" s="275">
        <v>19</v>
      </c>
      <c r="F486" s="275">
        <v>0</v>
      </c>
      <c r="G486" s="275">
        <v>181</v>
      </c>
      <c r="H486" s="275">
        <v>41</v>
      </c>
      <c r="I486" s="275">
        <v>547</v>
      </c>
      <c r="J486" s="275">
        <v>99</v>
      </c>
      <c r="K486" s="275">
        <v>36</v>
      </c>
      <c r="L486" s="275">
        <v>103</v>
      </c>
      <c r="M486" s="275">
        <v>0</v>
      </c>
      <c r="N486" s="275">
        <v>2</v>
      </c>
      <c r="O486" s="275">
        <v>347</v>
      </c>
      <c r="P486" s="275">
        <v>1231</v>
      </c>
      <c r="Q486" s="275">
        <v>883</v>
      </c>
      <c r="R486" s="275">
        <v>453</v>
      </c>
      <c r="S486" s="275">
        <v>377</v>
      </c>
      <c r="T486" s="275">
        <v>230</v>
      </c>
      <c r="U486" s="275">
        <v>5140</v>
      </c>
      <c r="V486" s="276">
        <v>-36</v>
      </c>
      <c r="W486" s="277">
        <v>5104</v>
      </c>
      <c r="X486" s="275">
        <v>610</v>
      </c>
      <c r="Y486" s="275">
        <v>728</v>
      </c>
      <c r="Z486" s="276">
        <v>3802</v>
      </c>
      <c r="AA486" s="285">
        <v>4243</v>
      </c>
      <c r="AB486" s="295">
        <v>4893.8467529179161</v>
      </c>
    </row>
    <row r="487" spans="1:28" ht="13.5" customHeight="1">
      <c r="A487" s="18">
        <v>15</v>
      </c>
      <c r="B487" s="19" t="s">
        <v>20</v>
      </c>
      <c r="C487" s="274">
        <v>1199</v>
      </c>
      <c r="D487" s="275">
        <v>2</v>
      </c>
      <c r="E487" s="275">
        <v>87</v>
      </c>
      <c r="F487" s="275">
        <v>30</v>
      </c>
      <c r="G487" s="275">
        <v>1699</v>
      </c>
      <c r="H487" s="275">
        <v>729</v>
      </c>
      <c r="I487" s="275">
        <v>1718</v>
      </c>
      <c r="J487" s="275">
        <v>564</v>
      </c>
      <c r="K487" s="275">
        <v>449</v>
      </c>
      <c r="L487" s="275">
        <v>569</v>
      </c>
      <c r="M487" s="275">
        <v>5</v>
      </c>
      <c r="N487" s="275">
        <v>138</v>
      </c>
      <c r="O487" s="275">
        <v>2234</v>
      </c>
      <c r="P487" s="275">
        <v>883</v>
      </c>
      <c r="Q487" s="275">
        <v>1387</v>
      </c>
      <c r="R487" s="275">
        <v>1332</v>
      </c>
      <c r="S487" s="275">
        <v>2248</v>
      </c>
      <c r="T487" s="275">
        <v>1292</v>
      </c>
      <c r="U487" s="275">
        <v>16565</v>
      </c>
      <c r="V487" s="276">
        <v>-114</v>
      </c>
      <c r="W487" s="277">
        <v>16451</v>
      </c>
      <c r="X487" s="275">
        <v>1288</v>
      </c>
      <c r="Y487" s="275">
        <v>3447</v>
      </c>
      <c r="Z487" s="276">
        <v>11830</v>
      </c>
      <c r="AA487" s="285">
        <v>3557</v>
      </c>
      <c r="AB487" s="295">
        <v>15764.62804354423</v>
      </c>
    </row>
    <row r="488" spans="1:28" ht="13.5" customHeight="1">
      <c r="A488" s="18">
        <v>16</v>
      </c>
      <c r="B488" s="19" t="s">
        <v>21</v>
      </c>
      <c r="C488" s="274">
        <v>943</v>
      </c>
      <c r="D488" s="275">
        <v>2</v>
      </c>
      <c r="E488" s="275">
        <v>304</v>
      </c>
      <c r="F488" s="275">
        <v>1322</v>
      </c>
      <c r="G488" s="275">
        <v>1763</v>
      </c>
      <c r="H488" s="275">
        <v>1512</v>
      </c>
      <c r="I488" s="275">
        <v>5411</v>
      </c>
      <c r="J488" s="275">
        <v>1638</v>
      </c>
      <c r="K488" s="275">
        <v>2446</v>
      </c>
      <c r="L488" s="275">
        <v>1957</v>
      </c>
      <c r="M488" s="275">
        <v>0</v>
      </c>
      <c r="N488" s="275">
        <v>564</v>
      </c>
      <c r="O488" s="275">
        <v>3947</v>
      </c>
      <c r="P488" s="275">
        <v>2385</v>
      </c>
      <c r="Q488" s="275">
        <v>2405</v>
      </c>
      <c r="R488" s="275">
        <v>1993</v>
      </c>
      <c r="S488" s="275">
        <v>4624</v>
      </c>
      <c r="T488" s="275">
        <v>4438</v>
      </c>
      <c r="U488" s="275">
        <v>37654</v>
      </c>
      <c r="V488" s="276">
        <v>-259</v>
      </c>
      <c r="W488" s="277">
        <v>37395</v>
      </c>
      <c r="X488" s="275">
        <v>1249</v>
      </c>
      <c r="Y488" s="275">
        <v>8496</v>
      </c>
      <c r="Z488" s="276">
        <v>27909</v>
      </c>
      <c r="AA488" s="285">
        <v>4237</v>
      </c>
      <c r="AB488" s="295">
        <v>35792.267035399498</v>
      </c>
    </row>
    <row r="489" spans="1:28" ht="13.5" customHeight="1">
      <c r="A489" s="18">
        <v>17</v>
      </c>
      <c r="B489" s="19" t="s">
        <v>22</v>
      </c>
      <c r="C489" s="274">
        <v>535</v>
      </c>
      <c r="D489" s="275">
        <v>20</v>
      </c>
      <c r="E489" s="275">
        <v>369</v>
      </c>
      <c r="F489" s="275">
        <v>150</v>
      </c>
      <c r="G489" s="275">
        <v>332</v>
      </c>
      <c r="H489" s="275">
        <v>651</v>
      </c>
      <c r="I489" s="275">
        <v>6614</v>
      </c>
      <c r="J489" s="275">
        <v>1450</v>
      </c>
      <c r="K489" s="275">
        <v>881</v>
      </c>
      <c r="L489" s="275">
        <v>5156</v>
      </c>
      <c r="M489" s="275">
        <v>76</v>
      </c>
      <c r="N489" s="275">
        <v>194</v>
      </c>
      <c r="O489" s="275">
        <v>5133</v>
      </c>
      <c r="P489" s="275">
        <v>1143</v>
      </c>
      <c r="Q489" s="275">
        <v>3326</v>
      </c>
      <c r="R489" s="275">
        <v>9687</v>
      </c>
      <c r="S489" s="275">
        <v>1805</v>
      </c>
      <c r="T489" s="275">
        <v>3308</v>
      </c>
      <c r="U489" s="275">
        <v>40830</v>
      </c>
      <c r="V489" s="276">
        <v>-281</v>
      </c>
      <c r="W489" s="277">
        <v>40549</v>
      </c>
      <c r="X489" s="275">
        <v>924</v>
      </c>
      <c r="Y489" s="275">
        <v>7096</v>
      </c>
      <c r="Z489" s="276">
        <v>32810</v>
      </c>
      <c r="AA489" s="285">
        <v>3963</v>
      </c>
      <c r="AB489" s="295">
        <v>38744.97877834415</v>
      </c>
    </row>
    <row r="490" spans="1:28" ht="13.5" customHeight="1">
      <c r="A490" s="18">
        <v>18</v>
      </c>
      <c r="B490" s="19" t="s">
        <v>23</v>
      </c>
      <c r="C490" s="274">
        <v>446</v>
      </c>
      <c r="D490" s="275">
        <v>10</v>
      </c>
      <c r="E490" s="275">
        <v>145</v>
      </c>
      <c r="F490" s="275">
        <v>0</v>
      </c>
      <c r="G490" s="275">
        <v>178</v>
      </c>
      <c r="H490" s="275">
        <v>772</v>
      </c>
      <c r="I490" s="275">
        <v>2170</v>
      </c>
      <c r="J490" s="275">
        <v>436</v>
      </c>
      <c r="K490" s="275">
        <v>1655</v>
      </c>
      <c r="L490" s="275">
        <v>134</v>
      </c>
      <c r="M490" s="275">
        <v>722</v>
      </c>
      <c r="N490" s="275">
        <v>20</v>
      </c>
      <c r="O490" s="275">
        <v>1763</v>
      </c>
      <c r="P490" s="275">
        <v>966</v>
      </c>
      <c r="Q490" s="275">
        <v>1479</v>
      </c>
      <c r="R490" s="275">
        <v>1251</v>
      </c>
      <c r="S490" s="275">
        <v>2074</v>
      </c>
      <c r="T490" s="275">
        <v>986</v>
      </c>
      <c r="U490" s="275">
        <v>15207</v>
      </c>
      <c r="V490" s="276">
        <v>-105</v>
      </c>
      <c r="W490" s="277">
        <v>15102</v>
      </c>
      <c r="X490" s="275">
        <v>601</v>
      </c>
      <c r="Y490" s="275">
        <v>2348</v>
      </c>
      <c r="Z490" s="276">
        <v>12258</v>
      </c>
      <c r="AA490" s="285">
        <v>4770</v>
      </c>
      <c r="AB490" s="295">
        <v>14519.042073475886</v>
      </c>
    </row>
    <row r="491" spans="1:28" ht="13.5" customHeight="1">
      <c r="A491" s="18">
        <v>19</v>
      </c>
      <c r="B491" s="19" t="s">
        <v>24</v>
      </c>
      <c r="C491" s="274">
        <v>527</v>
      </c>
      <c r="D491" s="275">
        <v>0</v>
      </c>
      <c r="E491" s="275">
        <v>80</v>
      </c>
      <c r="F491" s="275">
        <v>90</v>
      </c>
      <c r="G491" s="275">
        <v>666</v>
      </c>
      <c r="H491" s="275">
        <v>10699</v>
      </c>
      <c r="I491" s="275">
        <v>6493</v>
      </c>
      <c r="J491" s="275">
        <v>1035</v>
      </c>
      <c r="K491" s="275">
        <v>2324</v>
      </c>
      <c r="L491" s="275">
        <v>579</v>
      </c>
      <c r="M491" s="275">
        <v>467</v>
      </c>
      <c r="N491" s="275">
        <v>333</v>
      </c>
      <c r="O491" s="275">
        <v>3648</v>
      </c>
      <c r="P491" s="275">
        <v>583</v>
      </c>
      <c r="Q491" s="275">
        <v>2182</v>
      </c>
      <c r="R491" s="275">
        <v>1973</v>
      </c>
      <c r="S491" s="275">
        <v>5504</v>
      </c>
      <c r="T491" s="275">
        <v>1437</v>
      </c>
      <c r="U491" s="275">
        <v>38620</v>
      </c>
      <c r="V491" s="276">
        <v>-266</v>
      </c>
      <c r="W491" s="277">
        <v>38354</v>
      </c>
      <c r="X491" s="275">
        <v>607</v>
      </c>
      <c r="Y491" s="275">
        <v>7249</v>
      </c>
      <c r="Z491" s="276">
        <v>30764</v>
      </c>
      <c r="AA491" s="285">
        <v>6531</v>
      </c>
      <c r="AB491" s="295">
        <v>37283.780554737576</v>
      </c>
    </row>
    <row r="492" spans="1:28" ht="13.5" customHeight="1">
      <c r="A492" s="20">
        <v>20</v>
      </c>
      <c r="B492" s="21" t="s">
        <v>25</v>
      </c>
      <c r="C492" s="278">
        <v>1512</v>
      </c>
      <c r="D492" s="279">
        <v>2</v>
      </c>
      <c r="E492" s="279">
        <v>86</v>
      </c>
      <c r="F492" s="279">
        <v>60</v>
      </c>
      <c r="G492" s="279">
        <v>620</v>
      </c>
      <c r="H492" s="279">
        <v>358</v>
      </c>
      <c r="I492" s="279">
        <v>3594</v>
      </c>
      <c r="J492" s="279">
        <v>639</v>
      </c>
      <c r="K492" s="279">
        <v>537</v>
      </c>
      <c r="L492" s="279">
        <v>304</v>
      </c>
      <c r="M492" s="279">
        <v>24</v>
      </c>
      <c r="N492" s="279">
        <v>18</v>
      </c>
      <c r="O492" s="279">
        <v>1154</v>
      </c>
      <c r="P492" s="279">
        <v>132</v>
      </c>
      <c r="Q492" s="279">
        <v>1418</v>
      </c>
      <c r="R492" s="279">
        <v>602</v>
      </c>
      <c r="S492" s="279">
        <v>1069</v>
      </c>
      <c r="T492" s="279">
        <v>737</v>
      </c>
      <c r="U492" s="279">
        <v>12866</v>
      </c>
      <c r="V492" s="280">
        <v>-89</v>
      </c>
      <c r="W492" s="281">
        <v>12777</v>
      </c>
      <c r="X492" s="279">
        <v>1600</v>
      </c>
      <c r="Y492" s="279">
        <v>4274</v>
      </c>
      <c r="Z492" s="280">
        <v>6992</v>
      </c>
      <c r="AA492" s="286">
        <v>4404</v>
      </c>
      <c r="AB492" s="296">
        <v>12167.521332736478</v>
      </c>
    </row>
    <row r="493" spans="1:28" ht="13.5" customHeight="1">
      <c r="A493" s="18">
        <v>21</v>
      </c>
      <c r="B493" s="19" t="s">
        <v>26</v>
      </c>
      <c r="C493" s="270">
        <v>776</v>
      </c>
      <c r="D493" s="271">
        <v>0</v>
      </c>
      <c r="E493" s="271">
        <v>92</v>
      </c>
      <c r="F493" s="271">
        <v>210</v>
      </c>
      <c r="G493" s="271">
        <v>4934</v>
      </c>
      <c r="H493" s="271">
        <v>2701</v>
      </c>
      <c r="I493" s="271">
        <v>10268</v>
      </c>
      <c r="J493" s="271">
        <v>3502</v>
      </c>
      <c r="K493" s="271">
        <v>714</v>
      </c>
      <c r="L493" s="271">
        <v>1756</v>
      </c>
      <c r="M493" s="271">
        <v>58</v>
      </c>
      <c r="N493" s="271">
        <v>855</v>
      </c>
      <c r="O493" s="271">
        <v>15171</v>
      </c>
      <c r="P493" s="271">
        <v>2045</v>
      </c>
      <c r="Q493" s="271">
        <v>3382</v>
      </c>
      <c r="R493" s="271">
        <v>4000</v>
      </c>
      <c r="S493" s="271">
        <v>6050</v>
      </c>
      <c r="T493" s="271">
        <v>4914</v>
      </c>
      <c r="U493" s="271">
        <v>61428</v>
      </c>
      <c r="V493" s="272">
        <v>-423</v>
      </c>
      <c r="W493" s="273">
        <v>61005</v>
      </c>
      <c r="X493" s="271">
        <v>868</v>
      </c>
      <c r="Y493" s="271">
        <v>15412</v>
      </c>
      <c r="Z493" s="272">
        <v>45148</v>
      </c>
      <c r="AA493" s="284">
        <v>4561</v>
      </c>
      <c r="AB493" s="294">
        <v>59429.394018416067</v>
      </c>
    </row>
    <row r="494" spans="1:28" ht="13.5" customHeight="1">
      <c r="A494" s="18">
        <v>22</v>
      </c>
      <c r="B494" s="19" t="s">
        <v>27</v>
      </c>
      <c r="C494" s="274">
        <v>28</v>
      </c>
      <c r="D494" s="275">
        <v>0</v>
      </c>
      <c r="E494" s="275">
        <v>8</v>
      </c>
      <c r="F494" s="275">
        <v>0</v>
      </c>
      <c r="G494" s="275">
        <v>1074</v>
      </c>
      <c r="H494" s="275">
        <v>917</v>
      </c>
      <c r="I494" s="275">
        <v>4444</v>
      </c>
      <c r="J494" s="275">
        <v>1582</v>
      </c>
      <c r="K494" s="275">
        <v>312</v>
      </c>
      <c r="L494" s="275">
        <v>617</v>
      </c>
      <c r="M494" s="275">
        <v>561</v>
      </c>
      <c r="N494" s="275">
        <v>1420</v>
      </c>
      <c r="O494" s="275">
        <v>4240</v>
      </c>
      <c r="P494" s="275">
        <v>2850</v>
      </c>
      <c r="Q494" s="275">
        <v>11336</v>
      </c>
      <c r="R494" s="275">
        <v>1969</v>
      </c>
      <c r="S494" s="275">
        <v>4245</v>
      </c>
      <c r="T494" s="275">
        <v>1917</v>
      </c>
      <c r="U494" s="275">
        <v>37520</v>
      </c>
      <c r="V494" s="276">
        <v>-258</v>
      </c>
      <c r="W494" s="277">
        <v>37262</v>
      </c>
      <c r="X494" s="275">
        <v>36</v>
      </c>
      <c r="Y494" s="275">
        <v>5518</v>
      </c>
      <c r="Z494" s="276">
        <v>31966</v>
      </c>
      <c r="AA494" s="285">
        <v>4841</v>
      </c>
      <c r="AB494" s="295">
        <v>36445.577437278618</v>
      </c>
    </row>
    <row r="495" spans="1:28" ht="13.5" customHeight="1">
      <c r="A495" s="18">
        <v>23</v>
      </c>
      <c r="B495" s="19" t="s">
        <v>28</v>
      </c>
      <c r="C495" s="274">
        <v>0</v>
      </c>
      <c r="D495" s="275">
        <v>5</v>
      </c>
      <c r="E495" s="275">
        <v>47</v>
      </c>
      <c r="F495" s="275">
        <v>0</v>
      </c>
      <c r="G495" s="275">
        <v>555</v>
      </c>
      <c r="H495" s="275">
        <v>6440</v>
      </c>
      <c r="I495" s="275">
        <v>11064</v>
      </c>
      <c r="J495" s="275">
        <v>7959</v>
      </c>
      <c r="K495" s="275">
        <v>548</v>
      </c>
      <c r="L495" s="275">
        <v>5373</v>
      </c>
      <c r="M495" s="275">
        <v>7892</v>
      </c>
      <c r="N495" s="275">
        <v>2755</v>
      </c>
      <c r="O495" s="275">
        <v>16141</v>
      </c>
      <c r="P495" s="275">
        <v>7102</v>
      </c>
      <c r="Q495" s="275">
        <v>3177</v>
      </c>
      <c r="R495" s="275">
        <v>3356</v>
      </c>
      <c r="S495" s="275">
        <v>6326</v>
      </c>
      <c r="T495" s="275">
        <v>5789</v>
      </c>
      <c r="U495" s="275">
        <v>84529</v>
      </c>
      <c r="V495" s="276">
        <v>-581</v>
      </c>
      <c r="W495" s="277">
        <v>83948</v>
      </c>
      <c r="X495" s="275">
        <v>52</v>
      </c>
      <c r="Y495" s="275">
        <v>11619</v>
      </c>
      <c r="Z495" s="276">
        <v>72858</v>
      </c>
      <c r="AA495" s="285">
        <v>5729</v>
      </c>
      <c r="AB495" s="295">
        <v>82149.809877053631</v>
      </c>
    </row>
    <row r="496" spans="1:28" ht="13.5" customHeight="1">
      <c r="A496" s="18">
        <v>24</v>
      </c>
      <c r="B496" s="19" t="s">
        <v>29</v>
      </c>
      <c r="C496" s="274">
        <v>44</v>
      </c>
      <c r="D496" s="275">
        <v>2</v>
      </c>
      <c r="E496" s="275">
        <v>98</v>
      </c>
      <c r="F496" s="275">
        <v>30</v>
      </c>
      <c r="G496" s="275">
        <v>291</v>
      </c>
      <c r="H496" s="275">
        <v>1008</v>
      </c>
      <c r="I496" s="275">
        <v>3431</v>
      </c>
      <c r="J496" s="275">
        <v>2355</v>
      </c>
      <c r="K496" s="275">
        <v>1028</v>
      </c>
      <c r="L496" s="275">
        <v>2061</v>
      </c>
      <c r="M496" s="275">
        <v>138</v>
      </c>
      <c r="N496" s="275">
        <v>530</v>
      </c>
      <c r="O496" s="275">
        <v>7500</v>
      </c>
      <c r="P496" s="275">
        <v>1705</v>
      </c>
      <c r="Q496" s="275">
        <v>1806</v>
      </c>
      <c r="R496" s="275">
        <v>3878</v>
      </c>
      <c r="S496" s="275">
        <v>11324</v>
      </c>
      <c r="T496" s="275">
        <v>2610</v>
      </c>
      <c r="U496" s="275">
        <v>39839</v>
      </c>
      <c r="V496" s="276">
        <v>-274</v>
      </c>
      <c r="W496" s="277">
        <v>39565</v>
      </c>
      <c r="X496" s="275">
        <v>144</v>
      </c>
      <c r="Y496" s="275">
        <v>3752</v>
      </c>
      <c r="Z496" s="276">
        <v>35943</v>
      </c>
      <c r="AA496" s="285">
        <v>4817</v>
      </c>
      <c r="AB496" s="295">
        <v>38425.829558805133</v>
      </c>
    </row>
    <row r="497" spans="1:28" ht="13.5" customHeight="1">
      <c r="A497" s="18">
        <v>25</v>
      </c>
      <c r="B497" s="19" t="s">
        <v>30</v>
      </c>
      <c r="C497" s="274">
        <v>133</v>
      </c>
      <c r="D497" s="275">
        <v>0</v>
      </c>
      <c r="E497" s="275">
        <v>16</v>
      </c>
      <c r="F497" s="275">
        <v>210</v>
      </c>
      <c r="G497" s="275">
        <v>6693</v>
      </c>
      <c r="H497" s="275">
        <v>14115</v>
      </c>
      <c r="I497" s="275">
        <v>3651</v>
      </c>
      <c r="J497" s="275">
        <v>3129</v>
      </c>
      <c r="K497" s="275">
        <v>1237</v>
      </c>
      <c r="L497" s="275">
        <v>584</v>
      </c>
      <c r="M497" s="275">
        <v>739</v>
      </c>
      <c r="N497" s="275">
        <v>262</v>
      </c>
      <c r="O497" s="275">
        <v>7459</v>
      </c>
      <c r="P497" s="275">
        <v>2062</v>
      </c>
      <c r="Q497" s="275">
        <v>1642</v>
      </c>
      <c r="R497" s="275">
        <v>1909</v>
      </c>
      <c r="S497" s="275">
        <v>10134</v>
      </c>
      <c r="T497" s="275">
        <v>3358</v>
      </c>
      <c r="U497" s="275">
        <v>57333</v>
      </c>
      <c r="V497" s="276">
        <v>-395</v>
      </c>
      <c r="W497" s="277">
        <v>56938</v>
      </c>
      <c r="X497" s="275">
        <v>149</v>
      </c>
      <c r="Y497" s="275">
        <v>10554</v>
      </c>
      <c r="Z497" s="276">
        <v>46630</v>
      </c>
      <c r="AA497" s="285">
        <v>6206</v>
      </c>
      <c r="AB497" s="295">
        <v>55527.458260238047</v>
      </c>
    </row>
    <row r="498" spans="1:28" ht="13.5" customHeight="1">
      <c r="A498" s="20">
        <v>26</v>
      </c>
      <c r="B498" s="21" t="s">
        <v>31</v>
      </c>
      <c r="C498" s="278">
        <v>154</v>
      </c>
      <c r="D498" s="279">
        <v>2</v>
      </c>
      <c r="E498" s="279">
        <v>82</v>
      </c>
      <c r="F498" s="279">
        <v>60</v>
      </c>
      <c r="G498" s="279">
        <v>27461</v>
      </c>
      <c r="H498" s="279">
        <v>5965</v>
      </c>
      <c r="I498" s="279">
        <v>7815</v>
      </c>
      <c r="J498" s="279">
        <v>12841</v>
      </c>
      <c r="K498" s="279">
        <v>6603</v>
      </c>
      <c r="L498" s="279">
        <v>1242</v>
      </c>
      <c r="M498" s="279">
        <v>389</v>
      </c>
      <c r="N498" s="279">
        <v>1863</v>
      </c>
      <c r="O498" s="279">
        <v>10318</v>
      </c>
      <c r="P498" s="279">
        <v>6361</v>
      </c>
      <c r="Q498" s="279">
        <v>2474</v>
      </c>
      <c r="R498" s="279">
        <v>21074</v>
      </c>
      <c r="S498" s="279">
        <v>18384</v>
      </c>
      <c r="T498" s="279">
        <v>4711</v>
      </c>
      <c r="U498" s="279">
        <v>127799</v>
      </c>
      <c r="V498" s="280">
        <v>-879</v>
      </c>
      <c r="W498" s="281">
        <v>126920</v>
      </c>
      <c r="X498" s="279">
        <v>238</v>
      </c>
      <c r="Y498" s="279">
        <v>35336</v>
      </c>
      <c r="Z498" s="280">
        <v>92225</v>
      </c>
      <c r="AA498" s="286">
        <v>5706</v>
      </c>
      <c r="AB498" s="296">
        <v>123321.16410615982</v>
      </c>
    </row>
    <row r="499" spans="1:28" ht="13.5" customHeight="1">
      <c r="A499" s="18">
        <v>27</v>
      </c>
      <c r="B499" s="19" t="s">
        <v>32</v>
      </c>
      <c r="C499" s="270">
        <v>98</v>
      </c>
      <c r="D499" s="271">
        <v>0</v>
      </c>
      <c r="E499" s="271">
        <v>139</v>
      </c>
      <c r="F499" s="271">
        <v>30</v>
      </c>
      <c r="G499" s="271">
        <v>601</v>
      </c>
      <c r="H499" s="271">
        <v>874</v>
      </c>
      <c r="I499" s="271">
        <v>4470</v>
      </c>
      <c r="J499" s="271">
        <v>4355</v>
      </c>
      <c r="K499" s="271">
        <v>628</v>
      </c>
      <c r="L499" s="271">
        <v>1047</v>
      </c>
      <c r="M499" s="271">
        <v>116</v>
      </c>
      <c r="N499" s="271">
        <v>1176</v>
      </c>
      <c r="O499" s="271">
        <v>6473</v>
      </c>
      <c r="P499" s="271">
        <v>1431</v>
      </c>
      <c r="Q499" s="271">
        <v>3129</v>
      </c>
      <c r="R499" s="271">
        <v>4698</v>
      </c>
      <c r="S499" s="271">
        <v>6400</v>
      </c>
      <c r="T499" s="271">
        <v>1933</v>
      </c>
      <c r="U499" s="271">
        <v>37598</v>
      </c>
      <c r="V499" s="272">
        <v>-258</v>
      </c>
      <c r="W499" s="273">
        <v>37340</v>
      </c>
      <c r="X499" s="271">
        <v>237</v>
      </c>
      <c r="Y499" s="271">
        <v>5101</v>
      </c>
      <c r="Z499" s="272">
        <v>32260</v>
      </c>
      <c r="AA499" s="284">
        <v>5048</v>
      </c>
      <c r="AB499" s="294">
        <v>36375.491421440413</v>
      </c>
    </row>
    <row r="500" spans="1:28" ht="13.5" customHeight="1">
      <c r="A500" s="18">
        <v>28</v>
      </c>
      <c r="B500" s="19" t="s">
        <v>33</v>
      </c>
      <c r="C500" s="274">
        <v>608</v>
      </c>
      <c r="D500" s="275">
        <v>10</v>
      </c>
      <c r="E500" s="275">
        <v>0</v>
      </c>
      <c r="F500" s="275">
        <v>90</v>
      </c>
      <c r="G500" s="275">
        <v>3797</v>
      </c>
      <c r="H500" s="275">
        <v>3629</v>
      </c>
      <c r="I500" s="275">
        <v>8315</v>
      </c>
      <c r="J500" s="275">
        <v>11852</v>
      </c>
      <c r="K500" s="275">
        <v>2491</v>
      </c>
      <c r="L500" s="275">
        <v>2220</v>
      </c>
      <c r="M500" s="275">
        <v>386</v>
      </c>
      <c r="N500" s="275">
        <v>1798</v>
      </c>
      <c r="O500" s="275">
        <v>13510</v>
      </c>
      <c r="P500" s="275">
        <v>4666</v>
      </c>
      <c r="Q500" s="275">
        <v>3183</v>
      </c>
      <c r="R500" s="275">
        <v>5740</v>
      </c>
      <c r="S500" s="275">
        <v>25056</v>
      </c>
      <c r="T500" s="275">
        <v>5676</v>
      </c>
      <c r="U500" s="275">
        <v>93027</v>
      </c>
      <c r="V500" s="276">
        <v>-640</v>
      </c>
      <c r="W500" s="277">
        <v>92387</v>
      </c>
      <c r="X500" s="275">
        <v>618</v>
      </c>
      <c r="Y500" s="275">
        <v>12202</v>
      </c>
      <c r="Z500" s="276">
        <v>80207</v>
      </c>
      <c r="AA500" s="285">
        <v>4691</v>
      </c>
      <c r="AB500" s="295">
        <v>89817.827267442641</v>
      </c>
    </row>
    <row r="501" spans="1:28" ht="13.5" customHeight="1">
      <c r="A501" s="18">
        <v>29</v>
      </c>
      <c r="B501" s="19" t="s">
        <v>34</v>
      </c>
      <c r="C501" s="274">
        <v>1</v>
      </c>
      <c r="D501" s="275">
        <v>2</v>
      </c>
      <c r="E501" s="275">
        <v>17</v>
      </c>
      <c r="F501" s="275">
        <v>0</v>
      </c>
      <c r="G501" s="275">
        <v>13</v>
      </c>
      <c r="H501" s="275">
        <v>171</v>
      </c>
      <c r="I501" s="275">
        <v>510</v>
      </c>
      <c r="J501" s="275">
        <v>27</v>
      </c>
      <c r="K501" s="275">
        <v>111</v>
      </c>
      <c r="L501" s="275">
        <v>163</v>
      </c>
      <c r="M501" s="275">
        <v>4</v>
      </c>
      <c r="N501" s="275">
        <v>4</v>
      </c>
      <c r="O501" s="275">
        <v>102</v>
      </c>
      <c r="P501" s="275">
        <v>109</v>
      </c>
      <c r="Q501" s="275">
        <v>457</v>
      </c>
      <c r="R501" s="275">
        <v>332</v>
      </c>
      <c r="S501" s="275">
        <v>185</v>
      </c>
      <c r="T501" s="275">
        <v>514</v>
      </c>
      <c r="U501" s="275">
        <v>2722</v>
      </c>
      <c r="V501" s="276">
        <v>-18</v>
      </c>
      <c r="W501" s="277">
        <v>2704</v>
      </c>
      <c r="X501" s="275">
        <v>20</v>
      </c>
      <c r="Y501" s="275">
        <v>523</v>
      </c>
      <c r="Z501" s="276">
        <v>2179</v>
      </c>
      <c r="AA501" s="285">
        <v>4719</v>
      </c>
      <c r="AB501" s="295">
        <v>2595.3289507406471</v>
      </c>
    </row>
    <row r="502" spans="1:28" ht="13.5" customHeight="1">
      <c r="A502" s="18">
        <v>30</v>
      </c>
      <c r="B502" s="19" t="s">
        <v>35</v>
      </c>
      <c r="C502" s="274">
        <v>1</v>
      </c>
      <c r="D502" s="275">
        <v>0</v>
      </c>
      <c r="E502" s="275">
        <v>26</v>
      </c>
      <c r="F502" s="275">
        <v>0</v>
      </c>
      <c r="G502" s="275">
        <v>28</v>
      </c>
      <c r="H502" s="275">
        <v>206</v>
      </c>
      <c r="I502" s="275">
        <v>894</v>
      </c>
      <c r="J502" s="275">
        <v>92</v>
      </c>
      <c r="K502" s="275">
        <v>292</v>
      </c>
      <c r="L502" s="275">
        <v>311</v>
      </c>
      <c r="M502" s="275">
        <v>0</v>
      </c>
      <c r="N502" s="275">
        <v>6</v>
      </c>
      <c r="O502" s="275">
        <v>179</v>
      </c>
      <c r="P502" s="275">
        <v>220</v>
      </c>
      <c r="Q502" s="275">
        <v>392</v>
      </c>
      <c r="R502" s="275">
        <v>545</v>
      </c>
      <c r="S502" s="275">
        <v>239</v>
      </c>
      <c r="T502" s="275">
        <v>683</v>
      </c>
      <c r="U502" s="275">
        <v>4114</v>
      </c>
      <c r="V502" s="276">
        <v>-28</v>
      </c>
      <c r="W502" s="277">
        <v>4086</v>
      </c>
      <c r="X502" s="275">
        <v>27</v>
      </c>
      <c r="Y502" s="275">
        <v>922</v>
      </c>
      <c r="Z502" s="276">
        <v>3165</v>
      </c>
      <c r="AA502" s="285">
        <v>5265</v>
      </c>
      <c r="AB502" s="295">
        <v>3895.9046874259961</v>
      </c>
    </row>
    <row r="503" spans="1:28" ht="13.5" customHeight="1">
      <c r="A503" s="18">
        <v>31</v>
      </c>
      <c r="B503" s="19" t="s">
        <v>36</v>
      </c>
      <c r="C503" s="274">
        <v>53</v>
      </c>
      <c r="D503" s="275">
        <v>0</v>
      </c>
      <c r="E503" s="275">
        <v>7</v>
      </c>
      <c r="F503" s="275">
        <v>0</v>
      </c>
      <c r="G503" s="275">
        <v>162</v>
      </c>
      <c r="H503" s="275">
        <v>130</v>
      </c>
      <c r="I503" s="275">
        <v>228</v>
      </c>
      <c r="J503" s="275">
        <v>24</v>
      </c>
      <c r="K503" s="275">
        <v>171</v>
      </c>
      <c r="L503" s="275">
        <v>41</v>
      </c>
      <c r="M503" s="275">
        <v>0</v>
      </c>
      <c r="N503" s="275">
        <v>2</v>
      </c>
      <c r="O503" s="275">
        <v>213</v>
      </c>
      <c r="P503" s="275">
        <v>0</v>
      </c>
      <c r="Q503" s="275">
        <v>491</v>
      </c>
      <c r="R503" s="275">
        <v>288</v>
      </c>
      <c r="S503" s="275">
        <v>434</v>
      </c>
      <c r="T503" s="275">
        <v>79</v>
      </c>
      <c r="U503" s="275">
        <v>2323</v>
      </c>
      <c r="V503" s="276">
        <v>-16</v>
      </c>
      <c r="W503" s="277">
        <v>2307</v>
      </c>
      <c r="X503" s="275">
        <v>60</v>
      </c>
      <c r="Y503" s="275">
        <v>390</v>
      </c>
      <c r="Z503" s="276">
        <v>1873</v>
      </c>
      <c r="AA503" s="285">
        <v>5255</v>
      </c>
      <c r="AB503" s="295">
        <v>2230.3483371960665</v>
      </c>
    </row>
    <row r="504" spans="1:28" ht="13.5" customHeight="1">
      <c r="A504" s="18">
        <v>32</v>
      </c>
      <c r="B504" s="19" t="s">
        <v>37</v>
      </c>
      <c r="C504" s="274">
        <v>0</v>
      </c>
      <c r="D504" s="275">
        <v>0</v>
      </c>
      <c r="E504" s="275">
        <v>57</v>
      </c>
      <c r="F504" s="275">
        <v>0</v>
      </c>
      <c r="G504" s="275">
        <v>0</v>
      </c>
      <c r="H504" s="275">
        <v>22</v>
      </c>
      <c r="I504" s="275">
        <v>717</v>
      </c>
      <c r="J504" s="275">
        <v>16</v>
      </c>
      <c r="K504" s="275">
        <v>35</v>
      </c>
      <c r="L504" s="275">
        <v>21</v>
      </c>
      <c r="M504" s="275">
        <v>0</v>
      </c>
      <c r="N504" s="275">
        <v>13</v>
      </c>
      <c r="O504" s="275">
        <v>56</v>
      </c>
      <c r="P504" s="275">
        <v>0</v>
      </c>
      <c r="Q504" s="275">
        <v>247</v>
      </c>
      <c r="R504" s="275">
        <v>180</v>
      </c>
      <c r="S504" s="275">
        <v>128</v>
      </c>
      <c r="T504" s="275">
        <v>15</v>
      </c>
      <c r="U504" s="275">
        <v>1507</v>
      </c>
      <c r="V504" s="276">
        <v>-11</v>
      </c>
      <c r="W504" s="277">
        <v>1496</v>
      </c>
      <c r="X504" s="275">
        <v>57</v>
      </c>
      <c r="Y504" s="275">
        <v>717</v>
      </c>
      <c r="Z504" s="276">
        <v>733</v>
      </c>
      <c r="AA504" s="285">
        <v>6032</v>
      </c>
      <c r="AB504" s="295">
        <v>1428.8301064655209</v>
      </c>
    </row>
    <row r="505" spans="1:28" ht="13.5" customHeight="1">
      <c r="A505" s="18">
        <v>33</v>
      </c>
      <c r="B505" s="19" t="s">
        <v>38</v>
      </c>
      <c r="C505" s="274">
        <v>1087</v>
      </c>
      <c r="D505" s="275">
        <v>7</v>
      </c>
      <c r="E505" s="275">
        <v>26</v>
      </c>
      <c r="F505" s="275">
        <v>120</v>
      </c>
      <c r="G505" s="275">
        <v>2019</v>
      </c>
      <c r="H505" s="275">
        <v>228</v>
      </c>
      <c r="I505" s="275">
        <v>982</v>
      </c>
      <c r="J505" s="275">
        <v>219</v>
      </c>
      <c r="K505" s="275">
        <v>103</v>
      </c>
      <c r="L505" s="275">
        <v>99</v>
      </c>
      <c r="M505" s="275">
        <v>0</v>
      </c>
      <c r="N505" s="275">
        <v>5</v>
      </c>
      <c r="O505" s="275">
        <v>106</v>
      </c>
      <c r="P505" s="275">
        <v>85</v>
      </c>
      <c r="Q505" s="275">
        <v>785</v>
      </c>
      <c r="R505" s="275">
        <v>348</v>
      </c>
      <c r="S505" s="275">
        <v>217</v>
      </c>
      <c r="T505" s="275">
        <v>146</v>
      </c>
      <c r="U505" s="275">
        <v>6582</v>
      </c>
      <c r="V505" s="276">
        <v>-45</v>
      </c>
      <c r="W505" s="277">
        <v>6537</v>
      </c>
      <c r="X505" s="275">
        <v>1120</v>
      </c>
      <c r="Y505" s="275">
        <v>3121</v>
      </c>
      <c r="Z505" s="276">
        <v>2341</v>
      </c>
      <c r="AA505" s="285">
        <v>5847</v>
      </c>
      <c r="AB505" s="295">
        <v>6171.6226770858821</v>
      </c>
    </row>
    <row r="506" spans="1:28" ht="13.5" customHeight="1">
      <c r="A506" s="18">
        <v>34</v>
      </c>
      <c r="B506" s="19" t="s">
        <v>39</v>
      </c>
      <c r="C506" s="274">
        <v>297</v>
      </c>
      <c r="D506" s="275">
        <v>0</v>
      </c>
      <c r="E506" s="275">
        <v>9</v>
      </c>
      <c r="F506" s="275">
        <v>0</v>
      </c>
      <c r="G506" s="275">
        <v>539</v>
      </c>
      <c r="H506" s="275">
        <v>90</v>
      </c>
      <c r="I506" s="275">
        <v>1396</v>
      </c>
      <c r="J506" s="275">
        <v>55</v>
      </c>
      <c r="K506" s="275">
        <v>103</v>
      </c>
      <c r="L506" s="275">
        <v>105</v>
      </c>
      <c r="M506" s="275">
        <v>0</v>
      </c>
      <c r="N506" s="275">
        <v>4</v>
      </c>
      <c r="O506" s="275">
        <v>33</v>
      </c>
      <c r="P506" s="275">
        <v>55</v>
      </c>
      <c r="Q506" s="275">
        <v>419</v>
      </c>
      <c r="R506" s="275">
        <v>292</v>
      </c>
      <c r="S506" s="275">
        <v>170</v>
      </c>
      <c r="T506" s="275">
        <v>73</v>
      </c>
      <c r="U506" s="275">
        <v>3640</v>
      </c>
      <c r="V506" s="276">
        <v>-25</v>
      </c>
      <c r="W506" s="277">
        <v>3615</v>
      </c>
      <c r="X506" s="275">
        <v>306</v>
      </c>
      <c r="Y506" s="275">
        <v>1935</v>
      </c>
      <c r="Z506" s="276">
        <v>1399</v>
      </c>
      <c r="AA506" s="285">
        <v>6342</v>
      </c>
      <c r="AB506" s="295">
        <v>3445.1496933405401</v>
      </c>
    </row>
    <row r="507" spans="1:28" ht="13.5" customHeight="1">
      <c r="A507" s="18">
        <v>35</v>
      </c>
      <c r="B507" s="19" t="s">
        <v>40</v>
      </c>
      <c r="C507" s="274">
        <v>122</v>
      </c>
      <c r="D507" s="275">
        <v>5</v>
      </c>
      <c r="E507" s="275">
        <v>117</v>
      </c>
      <c r="F507" s="275">
        <v>30</v>
      </c>
      <c r="G507" s="275">
        <v>215</v>
      </c>
      <c r="H507" s="275">
        <v>183</v>
      </c>
      <c r="I507" s="275">
        <v>2020</v>
      </c>
      <c r="J507" s="275">
        <v>206</v>
      </c>
      <c r="K507" s="275">
        <v>251</v>
      </c>
      <c r="L507" s="275">
        <v>73</v>
      </c>
      <c r="M507" s="275">
        <v>0</v>
      </c>
      <c r="N507" s="275">
        <v>16</v>
      </c>
      <c r="O507" s="275">
        <v>139</v>
      </c>
      <c r="P507" s="275">
        <v>78</v>
      </c>
      <c r="Q507" s="275">
        <v>606</v>
      </c>
      <c r="R507" s="275">
        <v>535</v>
      </c>
      <c r="S507" s="275">
        <v>338</v>
      </c>
      <c r="T507" s="275">
        <v>127</v>
      </c>
      <c r="U507" s="275">
        <v>5061</v>
      </c>
      <c r="V507" s="276">
        <v>-35</v>
      </c>
      <c r="W507" s="277">
        <v>5026</v>
      </c>
      <c r="X507" s="275">
        <v>244</v>
      </c>
      <c r="Y507" s="275">
        <v>2265</v>
      </c>
      <c r="Z507" s="276">
        <v>2552</v>
      </c>
      <c r="AA507" s="285">
        <v>5913</v>
      </c>
      <c r="AB507" s="295">
        <v>4783.3633994038828</v>
      </c>
    </row>
    <row r="508" spans="1:28" ht="13.5" customHeight="1">
      <c r="A508" s="18">
        <v>36</v>
      </c>
      <c r="B508" s="19" t="s">
        <v>41</v>
      </c>
      <c r="C508" s="274">
        <v>334</v>
      </c>
      <c r="D508" s="275">
        <v>0</v>
      </c>
      <c r="E508" s="275">
        <v>167</v>
      </c>
      <c r="F508" s="275">
        <v>0</v>
      </c>
      <c r="G508" s="275">
        <v>102</v>
      </c>
      <c r="H508" s="275">
        <v>125</v>
      </c>
      <c r="I508" s="275">
        <v>2008</v>
      </c>
      <c r="J508" s="275">
        <v>155</v>
      </c>
      <c r="K508" s="275">
        <v>437</v>
      </c>
      <c r="L508" s="275">
        <v>80</v>
      </c>
      <c r="M508" s="275">
        <v>0</v>
      </c>
      <c r="N508" s="275">
        <v>13</v>
      </c>
      <c r="O508" s="275">
        <v>247</v>
      </c>
      <c r="P508" s="275">
        <v>34</v>
      </c>
      <c r="Q508" s="275">
        <v>693</v>
      </c>
      <c r="R508" s="275">
        <v>372</v>
      </c>
      <c r="S508" s="275">
        <v>408</v>
      </c>
      <c r="T508" s="275">
        <v>124</v>
      </c>
      <c r="U508" s="275">
        <v>5299</v>
      </c>
      <c r="V508" s="276">
        <v>-36</v>
      </c>
      <c r="W508" s="277">
        <v>5263</v>
      </c>
      <c r="X508" s="275">
        <v>501</v>
      </c>
      <c r="Y508" s="275">
        <v>2110</v>
      </c>
      <c r="Z508" s="276">
        <v>2688</v>
      </c>
      <c r="AA508" s="285">
        <v>5684</v>
      </c>
      <c r="AB508" s="295">
        <v>4967.6402442957315</v>
      </c>
    </row>
    <row r="509" spans="1:28" ht="13.5" customHeight="1">
      <c r="A509" s="18">
        <v>37</v>
      </c>
      <c r="B509" s="19" t="s">
        <v>49</v>
      </c>
      <c r="C509" s="274">
        <v>1074</v>
      </c>
      <c r="D509" s="275">
        <v>0</v>
      </c>
      <c r="E509" s="275">
        <v>496</v>
      </c>
      <c r="F509" s="275">
        <v>60</v>
      </c>
      <c r="G509" s="275">
        <v>1122</v>
      </c>
      <c r="H509" s="275">
        <v>1225</v>
      </c>
      <c r="I509" s="275">
        <v>2125</v>
      </c>
      <c r="J509" s="275">
        <v>1176</v>
      </c>
      <c r="K509" s="275">
        <v>794</v>
      </c>
      <c r="L509" s="275">
        <v>569</v>
      </c>
      <c r="M509" s="275">
        <v>0</v>
      </c>
      <c r="N509" s="275">
        <v>203</v>
      </c>
      <c r="O509" s="275">
        <v>1953</v>
      </c>
      <c r="P509" s="275">
        <v>991</v>
      </c>
      <c r="Q509" s="275">
        <v>3830</v>
      </c>
      <c r="R509" s="275">
        <v>1804</v>
      </c>
      <c r="S509" s="275">
        <v>2001</v>
      </c>
      <c r="T509" s="275">
        <v>967</v>
      </c>
      <c r="U509" s="275">
        <v>20390</v>
      </c>
      <c r="V509" s="276">
        <v>-140</v>
      </c>
      <c r="W509" s="277">
        <v>20250</v>
      </c>
      <c r="X509" s="275">
        <v>1570</v>
      </c>
      <c r="Y509" s="275">
        <v>3307</v>
      </c>
      <c r="Z509" s="276">
        <v>15513</v>
      </c>
      <c r="AA509" s="285">
        <v>4504</v>
      </c>
      <c r="AB509" s="295">
        <v>19407.787902622873</v>
      </c>
    </row>
    <row r="510" spans="1:28" ht="13.5" customHeight="1">
      <c r="A510" s="20">
        <v>38</v>
      </c>
      <c r="B510" s="21" t="s">
        <v>50</v>
      </c>
      <c r="C510" s="278">
        <v>2130</v>
      </c>
      <c r="D510" s="279">
        <v>0</v>
      </c>
      <c r="E510" s="279">
        <v>114</v>
      </c>
      <c r="F510" s="279">
        <v>90</v>
      </c>
      <c r="G510" s="279">
        <v>2137</v>
      </c>
      <c r="H510" s="279">
        <v>2068</v>
      </c>
      <c r="I510" s="279">
        <v>7141</v>
      </c>
      <c r="J510" s="279">
        <v>3062</v>
      </c>
      <c r="K510" s="279">
        <v>1982</v>
      </c>
      <c r="L510" s="279">
        <v>700</v>
      </c>
      <c r="M510" s="279">
        <v>843</v>
      </c>
      <c r="N510" s="279">
        <v>768</v>
      </c>
      <c r="O510" s="279">
        <v>8994</v>
      </c>
      <c r="P510" s="279">
        <v>2990</v>
      </c>
      <c r="Q510" s="279">
        <v>6240</v>
      </c>
      <c r="R510" s="279">
        <v>6352</v>
      </c>
      <c r="S510" s="279">
        <v>11870</v>
      </c>
      <c r="T510" s="279">
        <v>2581</v>
      </c>
      <c r="U510" s="279">
        <v>60062</v>
      </c>
      <c r="V510" s="280">
        <v>-413</v>
      </c>
      <c r="W510" s="281">
        <v>59649</v>
      </c>
      <c r="X510" s="279">
        <v>2244</v>
      </c>
      <c r="Y510" s="279">
        <v>9368</v>
      </c>
      <c r="Z510" s="280">
        <v>48450</v>
      </c>
      <c r="AA510" s="286">
        <v>5043</v>
      </c>
      <c r="AB510" s="296">
        <v>58057.447461306438</v>
      </c>
    </row>
    <row r="511" spans="1:28" ht="13.5" customHeight="1">
      <c r="A511" s="20">
        <v>39</v>
      </c>
      <c r="B511" s="21" t="s">
        <v>42</v>
      </c>
      <c r="C511" s="266">
        <v>634</v>
      </c>
      <c r="D511" s="267">
        <v>0</v>
      </c>
      <c r="E511" s="267">
        <v>1</v>
      </c>
      <c r="F511" s="267">
        <v>0</v>
      </c>
      <c r="G511" s="267">
        <v>504</v>
      </c>
      <c r="H511" s="267">
        <v>158</v>
      </c>
      <c r="I511" s="267">
        <v>833</v>
      </c>
      <c r="J511" s="267">
        <v>112</v>
      </c>
      <c r="K511" s="267">
        <v>164</v>
      </c>
      <c r="L511" s="267">
        <v>51</v>
      </c>
      <c r="M511" s="267">
        <v>0</v>
      </c>
      <c r="N511" s="267">
        <v>5</v>
      </c>
      <c r="O511" s="267">
        <v>223</v>
      </c>
      <c r="P511" s="267">
        <v>75</v>
      </c>
      <c r="Q511" s="267">
        <v>552</v>
      </c>
      <c r="R511" s="267">
        <v>371</v>
      </c>
      <c r="S511" s="267">
        <v>159</v>
      </c>
      <c r="T511" s="267">
        <v>101</v>
      </c>
      <c r="U511" s="267">
        <v>3943</v>
      </c>
      <c r="V511" s="268">
        <v>-27</v>
      </c>
      <c r="W511" s="269">
        <v>3916</v>
      </c>
      <c r="X511" s="267">
        <v>635</v>
      </c>
      <c r="Y511" s="267">
        <v>1337</v>
      </c>
      <c r="Z511" s="268">
        <v>1971</v>
      </c>
      <c r="AA511" s="283">
        <v>5053</v>
      </c>
      <c r="AB511" s="293">
        <v>3771.2829274217597</v>
      </c>
    </row>
    <row r="512" spans="1:28" ht="13.5" customHeight="1">
      <c r="A512" s="18">
        <v>40</v>
      </c>
      <c r="B512" s="19" t="s">
        <v>43</v>
      </c>
      <c r="C512" s="270">
        <v>1002</v>
      </c>
      <c r="D512" s="271">
        <v>10</v>
      </c>
      <c r="E512" s="271">
        <v>92</v>
      </c>
      <c r="F512" s="271">
        <v>0</v>
      </c>
      <c r="G512" s="271">
        <v>850</v>
      </c>
      <c r="H512" s="271">
        <v>396</v>
      </c>
      <c r="I512" s="271">
        <v>3291</v>
      </c>
      <c r="J512" s="271">
        <v>351</v>
      </c>
      <c r="K512" s="271">
        <v>962</v>
      </c>
      <c r="L512" s="271">
        <v>1206</v>
      </c>
      <c r="M512" s="271">
        <v>0</v>
      </c>
      <c r="N512" s="271">
        <v>17</v>
      </c>
      <c r="O512" s="271">
        <v>1012</v>
      </c>
      <c r="P512" s="271">
        <v>901</v>
      </c>
      <c r="Q512" s="271">
        <v>672</v>
      </c>
      <c r="R512" s="271">
        <v>2047</v>
      </c>
      <c r="S512" s="271">
        <v>480</v>
      </c>
      <c r="T512" s="271">
        <v>1747</v>
      </c>
      <c r="U512" s="271">
        <v>15036</v>
      </c>
      <c r="V512" s="272">
        <v>-103</v>
      </c>
      <c r="W512" s="273">
        <v>14933</v>
      </c>
      <c r="X512" s="271">
        <v>1104</v>
      </c>
      <c r="Y512" s="271">
        <v>4141</v>
      </c>
      <c r="Z512" s="272">
        <v>9791</v>
      </c>
      <c r="AA512" s="284">
        <v>4802</v>
      </c>
      <c r="AB512" s="294">
        <v>14171.944895054337</v>
      </c>
    </row>
    <row r="513" spans="1:28" ht="13.5" customHeight="1">
      <c r="A513" s="20">
        <v>41</v>
      </c>
      <c r="B513" s="21" t="s">
        <v>44</v>
      </c>
      <c r="C513" s="278">
        <v>134</v>
      </c>
      <c r="D513" s="279">
        <v>0</v>
      </c>
      <c r="E513" s="279">
        <v>29</v>
      </c>
      <c r="F513" s="279">
        <v>150</v>
      </c>
      <c r="G513" s="279">
        <v>339</v>
      </c>
      <c r="H513" s="279">
        <v>277</v>
      </c>
      <c r="I513" s="279">
        <v>873</v>
      </c>
      <c r="J513" s="279">
        <v>169</v>
      </c>
      <c r="K513" s="279">
        <v>275</v>
      </c>
      <c r="L513" s="279">
        <v>205</v>
      </c>
      <c r="M513" s="279">
        <v>0</v>
      </c>
      <c r="N513" s="279">
        <v>14</v>
      </c>
      <c r="O513" s="279">
        <v>325</v>
      </c>
      <c r="P513" s="279">
        <v>268</v>
      </c>
      <c r="Q513" s="279">
        <v>2868</v>
      </c>
      <c r="R513" s="279">
        <v>704</v>
      </c>
      <c r="S513" s="279">
        <v>454</v>
      </c>
      <c r="T513" s="279">
        <v>213</v>
      </c>
      <c r="U513" s="279">
        <v>7297</v>
      </c>
      <c r="V513" s="280">
        <v>-50</v>
      </c>
      <c r="W513" s="281">
        <v>7247</v>
      </c>
      <c r="X513" s="279">
        <v>163</v>
      </c>
      <c r="Y513" s="279">
        <v>1362</v>
      </c>
      <c r="Z513" s="280">
        <v>5772</v>
      </c>
      <c r="AA513" s="286">
        <v>5199</v>
      </c>
      <c r="AB513" s="296">
        <v>6983.285870583758</v>
      </c>
    </row>
    <row r="514" spans="1:28" ht="15.75" customHeight="1">
      <c r="A514" s="123" t="s">
        <v>146</v>
      </c>
      <c r="B514" s="7" t="s">
        <v>152</v>
      </c>
      <c r="C514" s="270">
        <v>10738</v>
      </c>
      <c r="D514" s="271">
        <v>223</v>
      </c>
      <c r="E514" s="271">
        <v>2019</v>
      </c>
      <c r="F514" s="271">
        <v>3607</v>
      </c>
      <c r="G514" s="271">
        <v>19587</v>
      </c>
      <c r="H514" s="271">
        <v>23696</v>
      </c>
      <c r="I514" s="271">
        <v>58812</v>
      </c>
      <c r="J514" s="271">
        <v>21919</v>
      </c>
      <c r="K514" s="271">
        <v>16400</v>
      </c>
      <c r="L514" s="271">
        <v>16175</v>
      </c>
      <c r="M514" s="271">
        <v>3973</v>
      </c>
      <c r="N514" s="271">
        <v>5986</v>
      </c>
      <c r="O514" s="271">
        <v>42334</v>
      </c>
      <c r="P514" s="271">
        <v>23217</v>
      </c>
      <c r="Q514" s="271">
        <v>31022</v>
      </c>
      <c r="R514" s="271">
        <v>35200</v>
      </c>
      <c r="S514" s="271">
        <v>53302</v>
      </c>
      <c r="T514" s="271">
        <v>22024</v>
      </c>
      <c r="U514" s="271">
        <v>390234</v>
      </c>
      <c r="V514" s="272">
        <v>-2685</v>
      </c>
      <c r="W514" s="273">
        <v>387549</v>
      </c>
      <c r="X514" s="271">
        <v>12980</v>
      </c>
      <c r="Y514" s="271">
        <v>82006</v>
      </c>
      <c r="Z514" s="272">
        <v>295248</v>
      </c>
      <c r="AA514" s="284">
        <v>4960</v>
      </c>
      <c r="AB514" s="294">
        <v>373251.59052520664</v>
      </c>
    </row>
    <row r="515" spans="1:28" ht="15.75" customHeight="1">
      <c r="A515" s="124" t="s">
        <v>147</v>
      </c>
      <c r="B515" s="17" t="s">
        <v>153</v>
      </c>
      <c r="C515" s="274">
        <v>3561</v>
      </c>
      <c r="D515" s="275">
        <v>18</v>
      </c>
      <c r="E515" s="275">
        <v>1703</v>
      </c>
      <c r="F515" s="275">
        <v>2012</v>
      </c>
      <c r="G515" s="275">
        <v>112762</v>
      </c>
      <c r="H515" s="275">
        <v>93695</v>
      </c>
      <c r="I515" s="275">
        <v>136959</v>
      </c>
      <c r="J515" s="275">
        <v>169833</v>
      </c>
      <c r="K515" s="275">
        <v>57113</v>
      </c>
      <c r="L515" s="275">
        <v>37076</v>
      </c>
      <c r="M515" s="275">
        <v>63975</v>
      </c>
      <c r="N515" s="275">
        <v>40851</v>
      </c>
      <c r="O515" s="275">
        <v>238303</v>
      </c>
      <c r="P515" s="275">
        <v>153760</v>
      </c>
      <c r="Q515" s="275">
        <v>97696</v>
      </c>
      <c r="R515" s="275">
        <v>104692</v>
      </c>
      <c r="S515" s="275">
        <v>212761</v>
      </c>
      <c r="T515" s="275">
        <v>83527</v>
      </c>
      <c r="U515" s="275">
        <v>1610297</v>
      </c>
      <c r="V515" s="276">
        <v>-11076</v>
      </c>
      <c r="W515" s="277">
        <v>1599221</v>
      </c>
      <c r="X515" s="275">
        <v>5282</v>
      </c>
      <c r="Y515" s="275">
        <v>251733</v>
      </c>
      <c r="Z515" s="276">
        <v>1353282</v>
      </c>
      <c r="AA515" s="285">
        <v>5773</v>
      </c>
      <c r="AB515" s="295">
        <v>1558536.4834762155</v>
      </c>
    </row>
    <row r="516" spans="1:28" ht="15.75" customHeight="1">
      <c r="A516" s="124" t="s">
        <v>148</v>
      </c>
      <c r="B516" s="17" t="s">
        <v>154</v>
      </c>
      <c r="C516" s="274">
        <v>11261</v>
      </c>
      <c r="D516" s="275">
        <v>26</v>
      </c>
      <c r="E516" s="275">
        <v>1996</v>
      </c>
      <c r="F516" s="275">
        <v>1591</v>
      </c>
      <c r="G516" s="275">
        <v>44823</v>
      </c>
      <c r="H516" s="275">
        <v>19979</v>
      </c>
      <c r="I516" s="275">
        <v>68223</v>
      </c>
      <c r="J516" s="275">
        <v>50540</v>
      </c>
      <c r="K516" s="275">
        <v>26286</v>
      </c>
      <c r="L516" s="275">
        <v>13395</v>
      </c>
      <c r="M516" s="275">
        <v>11167</v>
      </c>
      <c r="N516" s="275">
        <v>8811</v>
      </c>
      <c r="O516" s="275">
        <v>85099</v>
      </c>
      <c r="P516" s="275">
        <v>39008</v>
      </c>
      <c r="Q516" s="275">
        <v>43438</v>
      </c>
      <c r="R516" s="275">
        <v>43281</v>
      </c>
      <c r="S516" s="275">
        <v>106769</v>
      </c>
      <c r="T516" s="275">
        <v>31745</v>
      </c>
      <c r="U516" s="275">
        <v>607438</v>
      </c>
      <c r="V516" s="276">
        <v>-4176</v>
      </c>
      <c r="W516" s="277">
        <v>603262</v>
      </c>
      <c r="X516" s="275">
        <v>13283</v>
      </c>
      <c r="Y516" s="275">
        <v>114637</v>
      </c>
      <c r="Z516" s="276">
        <v>479518</v>
      </c>
      <c r="AA516" s="285">
        <v>4924</v>
      </c>
      <c r="AB516" s="295">
        <v>584896.18073919381</v>
      </c>
    </row>
    <row r="517" spans="1:28" ht="15.75" customHeight="1">
      <c r="A517" s="124" t="s">
        <v>149</v>
      </c>
      <c r="B517" s="17" t="s">
        <v>155</v>
      </c>
      <c r="C517" s="274">
        <v>284</v>
      </c>
      <c r="D517" s="275">
        <v>52</v>
      </c>
      <c r="E517" s="275">
        <v>1611</v>
      </c>
      <c r="F517" s="275">
        <v>601</v>
      </c>
      <c r="G517" s="275">
        <v>14211</v>
      </c>
      <c r="H517" s="275">
        <v>32955</v>
      </c>
      <c r="I517" s="275">
        <v>70240</v>
      </c>
      <c r="J517" s="275">
        <v>111741</v>
      </c>
      <c r="K517" s="275">
        <v>73671</v>
      </c>
      <c r="L517" s="275">
        <v>32359</v>
      </c>
      <c r="M517" s="275">
        <v>97274</v>
      </c>
      <c r="N517" s="275">
        <v>89262</v>
      </c>
      <c r="O517" s="275">
        <v>146879</v>
      </c>
      <c r="P517" s="275">
        <v>178465</v>
      </c>
      <c r="Q517" s="275">
        <v>196715</v>
      </c>
      <c r="R517" s="275">
        <v>42406</v>
      </c>
      <c r="S517" s="275">
        <v>122698</v>
      </c>
      <c r="T517" s="275">
        <v>52822</v>
      </c>
      <c r="U517" s="275">
        <v>1264246</v>
      </c>
      <c r="V517" s="276">
        <v>-8697</v>
      </c>
      <c r="W517" s="277">
        <v>1255549</v>
      </c>
      <c r="X517" s="275">
        <v>1947</v>
      </c>
      <c r="Y517" s="275">
        <v>85052</v>
      </c>
      <c r="Z517" s="276">
        <v>1177247</v>
      </c>
      <c r="AA517" s="285">
        <v>6474</v>
      </c>
      <c r="AB517" s="295">
        <v>1224992.3331017012</v>
      </c>
    </row>
    <row r="518" spans="1:28" ht="15.75" customHeight="1">
      <c r="A518" s="124" t="s">
        <v>150</v>
      </c>
      <c r="B518" s="17" t="s">
        <v>156</v>
      </c>
      <c r="C518" s="274">
        <v>6639</v>
      </c>
      <c r="D518" s="275">
        <v>65</v>
      </c>
      <c r="E518" s="275">
        <v>591</v>
      </c>
      <c r="F518" s="275">
        <v>390</v>
      </c>
      <c r="G518" s="275">
        <v>8211</v>
      </c>
      <c r="H518" s="275">
        <v>7302</v>
      </c>
      <c r="I518" s="275">
        <v>30555</v>
      </c>
      <c r="J518" s="275">
        <v>17694</v>
      </c>
      <c r="K518" s="275">
        <v>7695</v>
      </c>
      <c r="L518" s="275">
        <v>5180</v>
      </c>
      <c r="M518" s="275">
        <v>1947</v>
      </c>
      <c r="N518" s="275">
        <v>2634</v>
      </c>
      <c r="O518" s="275">
        <v>17323</v>
      </c>
      <c r="P518" s="275">
        <v>12956</v>
      </c>
      <c r="Q518" s="275">
        <v>26195</v>
      </c>
      <c r="R518" s="275">
        <v>10453</v>
      </c>
      <c r="S518" s="275">
        <v>20704</v>
      </c>
      <c r="T518" s="275">
        <v>6951</v>
      </c>
      <c r="U518" s="275">
        <v>183485</v>
      </c>
      <c r="V518" s="276">
        <v>-1262</v>
      </c>
      <c r="W518" s="277">
        <v>182223</v>
      </c>
      <c r="X518" s="275">
        <v>7295</v>
      </c>
      <c r="Y518" s="275">
        <v>39156</v>
      </c>
      <c r="Z518" s="276">
        <v>137034</v>
      </c>
      <c r="AA518" s="285">
        <v>5685</v>
      </c>
      <c r="AB518" s="295">
        <v>175078.50099094652</v>
      </c>
    </row>
    <row r="519" spans="1:28" ht="15.75" customHeight="1">
      <c r="A519" s="125" t="s">
        <v>151</v>
      </c>
      <c r="B519" s="117" t="s">
        <v>157</v>
      </c>
      <c r="C519" s="278">
        <v>5123</v>
      </c>
      <c r="D519" s="279">
        <v>35</v>
      </c>
      <c r="E519" s="279">
        <v>711</v>
      </c>
      <c r="F519" s="279">
        <v>480</v>
      </c>
      <c r="G519" s="279">
        <v>5106</v>
      </c>
      <c r="H519" s="279">
        <v>8464</v>
      </c>
      <c r="I519" s="279">
        <v>25080</v>
      </c>
      <c r="J519" s="279">
        <v>11988</v>
      </c>
      <c r="K519" s="279">
        <v>11323</v>
      </c>
      <c r="L519" s="279">
        <v>7156</v>
      </c>
      <c r="M519" s="279">
        <v>1450</v>
      </c>
      <c r="N519" s="279">
        <v>2686</v>
      </c>
      <c r="O519" s="279">
        <v>18960</v>
      </c>
      <c r="P519" s="279">
        <v>15845</v>
      </c>
      <c r="Q519" s="279">
        <v>23501</v>
      </c>
      <c r="R519" s="279">
        <v>12020</v>
      </c>
      <c r="S519" s="279">
        <v>15194</v>
      </c>
      <c r="T519" s="279">
        <v>9294</v>
      </c>
      <c r="U519" s="279">
        <v>174416</v>
      </c>
      <c r="V519" s="280">
        <v>-1199</v>
      </c>
      <c r="W519" s="281">
        <v>173217</v>
      </c>
      <c r="X519" s="279">
        <v>5869</v>
      </c>
      <c r="Y519" s="279">
        <v>30666</v>
      </c>
      <c r="Z519" s="280">
        <v>137881</v>
      </c>
      <c r="AA519" s="286">
        <v>5946</v>
      </c>
      <c r="AB519" s="296">
        <v>166219.91503476191</v>
      </c>
    </row>
    <row r="520" spans="1:28" ht="15.75" customHeight="1">
      <c r="B520" s="25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</row>
    <row r="522" spans="1:28" ht="13.5" customHeight="1">
      <c r="A522" s="56">
        <f>A470+1</f>
        <v>3</v>
      </c>
      <c r="B522" s="51" t="str">
        <f>IF(A522&lt;22,"令和"&amp;A522&amp;"年度","平成"&amp;A522&amp;"年度")</f>
        <v>令和3年度</v>
      </c>
      <c r="C522" s="57" t="str">
        <f>C$2</f>
        <v>経済活動別市町村内総生産（百万円）</v>
      </c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1"/>
      <c r="Y522" s="2"/>
      <c r="Z522" s="58"/>
      <c r="AA522" s="58"/>
      <c r="AB522" s="58"/>
    </row>
    <row r="523" spans="1:28" ht="45" customHeight="1">
      <c r="A523" s="198"/>
      <c r="B523" s="88"/>
      <c r="C523" s="89" t="s">
        <v>51</v>
      </c>
      <c r="D523" s="89" t="s">
        <v>52</v>
      </c>
      <c r="E523" s="89" t="s">
        <v>53</v>
      </c>
      <c r="F523" s="89" t="s">
        <v>54</v>
      </c>
      <c r="G523" s="89" t="s">
        <v>55</v>
      </c>
      <c r="H523" s="89" t="s">
        <v>56</v>
      </c>
      <c r="I523" s="89" t="s">
        <v>57</v>
      </c>
      <c r="J523" s="89" t="s">
        <v>58</v>
      </c>
      <c r="K523" s="89" t="s">
        <v>59</v>
      </c>
      <c r="L523" s="89" t="s">
        <v>60</v>
      </c>
      <c r="M523" s="89" t="s">
        <v>61</v>
      </c>
      <c r="N523" s="89" t="s">
        <v>62</v>
      </c>
      <c r="O523" s="89" t="s">
        <v>63</v>
      </c>
      <c r="P523" s="89" t="s">
        <v>64</v>
      </c>
      <c r="Q523" s="89" t="s">
        <v>65</v>
      </c>
      <c r="R523" s="89" t="s">
        <v>66</v>
      </c>
      <c r="S523" s="89" t="s">
        <v>67</v>
      </c>
      <c r="T523" s="89" t="s">
        <v>68</v>
      </c>
      <c r="U523" s="89" t="s">
        <v>70</v>
      </c>
      <c r="V523" s="90" t="s">
        <v>69</v>
      </c>
      <c r="W523" s="91" t="s">
        <v>71</v>
      </c>
      <c r="X523" s="89" t="s">
        <v>72</v>
      </c>
      <c r="Y523" s="89" t="s">
        <v>73</v>
      </c>
      <c r="Z523" s="89" t="s">
        <v>74</v>
      </c>
      <c r="AA523" s="282" t="s">
        <v>277</v>
      </c>
      <c r="AB523" s="292" t="s">
        <v>278</v>
      </c>
    </row>
    <row r="524" spans="1:28" ht="13.5" customHeight="1">
      <c r="A524" s="165" t="s">
        <v>160</v>
      </c>
      <c r="B524" s="22" t="s">
        <v>0</v>
      </c>
      <c r="C524" s="266">
        <v>45044</v>
      </c>
      <c r="D524" s="267">
        <v>425</v>
      </c>
      <c r="E524" s="267">
        <v>8221</v>
      </c>
      <c r="F524" s="267">
        <v>8772</v>
      </c>
      <c r="G524" s="267">
        <v>187025</v>
      </c>
      <c r="H524" s="267">
        <v>181403</v>
      </c>
      <c r="I524" s="267">
        <v>470886</v>
      </c>
      <c r="J524" s="267">
        <v>403965</v>
      </c>
      <c r="K524" s="267">
        <v>202182</v>
      </c>
      <c r="L524" s="267">
        <v>107464</v>
      </c>
      <c r="M524" s="267">
        <v>172332</v>
      </c>
      <c r="N524" s="267">
        <v>155770</v>
      </c>
      <c r="O524" s="267">
        <v>553773</v>
      </c>
      <c r="P524" s="267">
        <v>449294</v>
      </c>
      <c r="Q524" s="267">
        <v>426328</v>
      </c>
      <c r="R524" s="267">
        <v>256844</v>
      </c>
      <c r="S524" s="267">
        <v>549161</v>
      </c>
      <c r="T524" s="267">
        <v>225757</v>
      </c>
      <c r="U524" s="267">
        <v>4404646</v>
      </c>
      <c r="V524" s="268">
        <v>-34474</v>
      </c>
      <c r="W524" s="269">
        <v>4370172</v>
      </c>
      <c r="X524" s="267">
        <v>53690</v>
      </c>
      <c r="Y524" s="267">
        <v>666683</v>
      </c>
      <c r="Z524" s="268">
        <v>3684273</v>
      </c>
      <c r="AA524" s="283">
        <v>5913</v>
      </c>
      <c r="AB524" s="293">
        <v>4230962</v>
      </c>
    </row>
    <row r="525" spans="1:28" ht="13.5" customHeight="1">
      <c r="A525" s="16" t="s">
        <v>1</v>
      </c>
      <c r="B525" s="17" t="s">
        <v>2</v>
      </c>
      <c r="C525" s="270">
        <v>317</v>
      </c>
      <c r="D525" s="271">
        <v>53</v>
      </c>
      <c r="E525" s="271">
        <v>1781</v>
      </c>
      <c r="F525" s="271">
        <v>607</v>
      </c>
      <c r="G525" s="271">
        <v>13420</v>
      </c>
      <c r="H525" s="271">
        <v>33616</v>
      </c>
      <c r="I525" s="271">
        <v>97430</v>
      </c>
      <c r="J525" s="271">
        <v>118730</v>
      </c>
      <c r="K525" s="271">
        <v>78739</v>
      </c>
      <c r="L525" s="271">
        <v>30762</v>
      </c>
      <c r="M525" s="271">
        <v>94296</v>
      </c>
      <c r="N525" s="271">
        <v>92458</v>
      </c>
      <c r="O525" s="271">
        <v>147331</v>
      </c>
      <c r="P525" s="271">
        <v>190302</v>
      </c>
      <c r="Q525" s="271">
        <v>201247</v>
      </c>
      <c r="R525" s="271">
        <v>44004</v>
      </c>
      <c r="S525" s="271">
        <v>128575</v>
      </c>
      <c r="T525" s="271">
        <v>57265</v>
      </c>
      <c r="U525" s="271">
        <v>1330933</v>
      </c>
      <c r="V525" s="272">
        <v>-10414</v>
      </c>
      <c r="W525" s="273">
        <v>1320519</v>
      </c>
      <c r="X525" s="271">
        <v>2151</v>
      </c>
      <c r="Y525" s="271">
        <v>111457</v>
      </c>
      <c r="Z525" s="272">
        <v>1217325</v>
      </c>
      <c r="AA525" s="284">
        <v>6739</v>
      </c>
      <c r="AB525" s="294">
        <v>1282176.6906529935</v>
      </c>
    </row>
    <row r="526" spans="1:28" ht="13.5" customHeight="1">
      <c r="A526" s="18" t="s">
        <v>3</v>
      </c>
      <c r="B526" s="19" t="s">
        <v>4</v>
      </c>
      <c r="C526" s="274">
        <v>54</v>
      </c>
      <c r="D526" s="275">
        <v>0</v>
      </c>
      <c r="E526" s="275">
        <v>128</v>
      </c>
      <c r="F526" s="275">
        <v>546</v>
      </c>
      <c r="G526" s="275">
        <v>4026</v>
      </c>
      <c r="H526" s="275">
        <v>8234</v>
      </c>
      <c r="I526" s="275">
        <v>25737</v>
      </c>
      <c r="J526" s="275">
        <v>23769</v>
      </c>
      <c r="K526" s="275">
        <v>4925</v>
      </c>
      <c r="L526" s="275">
        <v>4328</v>
      </c>
      <c r="M526" s="275">
        <v>12787</v>
      </c>
      <c r="N526" s="275">
        <v>4984</v>
      </c>
      <c r="O526" s="275">
        <v>38266</v>
      </c>
      <c r="P526" s="275">
        <v>24844</v>
      </c>
      <c r="Q526" s="275">
        <v>9523</v>
      </c>
      <c r="R526" s="275">
        <v>13067</v>
      </c>
      <c r="S526" s="275">
        <v>22029</v>
      </c>
      <c r="T526" s="275">
        <v>12594</v>
      </c>
      <c r="U526" s="275">
        <v>209841</v>
      </c>
      <c r="V526" s="276">
        <v>-1642</v>
      </c>
      <c r="W526" s="277">
        <v>208199</v>
      </c>
      <c r="X526" s="275">
        <v>182</v>
      </c>
      <c r="Y526" s="275">
        <v>30309</v>
      </c>
      <c r="Z526" s="276">
        <v>179350</v>
      </c>
      <c r="AA526" s="285">
        <v>5541</v>
      </c>
      <c r="AB526" s="295">
        <v>201183.72639638494</v>
      </c>
    </row>
    <row r="527" spans="1:28" ht="13.5" customHeight="1">
      <c r="A527" s="18" t="s">
        <v>5</v>
      </c>
      <c r="B527" s="19" t="s">
        <v>6</v>
      </c>
      <c r="C527" s="274">
        <v>5134</v>
      </c>
      <c r="D527" s="275">
        <v>25</v>
      </c>
      <c r="E527" s="275">
        <v>607</v>
      </c>
      <c r="F527" s="275">
        <v>334</v>
      </c>
      <c r="G527" s="275">
        <v>4185</v>
      </c>
      <c r="H527" s="275">
        <v>7289</v>
      </c>
      <c r="I527" s="275">
        <v>43315</v>
      </c>
      <c r="J527" s="275">
        <v>11959</v>
      </c>
      <c r="K527" s="275">
        <v>10829</v>
      </c>
      <c r="L527" s="275">
        <v>5846</v>
      </c>
      <c r="M527" s="275">
        <v>1381</v>
      </c>
      <c r="N527" s="275">
        <v>2645</v>
      </c>
      <c r="O527" s="275">
        <v>17802</v>
      </c>
      <c r="P527" s="275">
        <v>14802</v>
      </c>
      <c r="Q527" s="275">
        <v>20424</v>
      </c>
      <c r="R527" s="275">
        <v>9489</v>
      </c>
      <c r="S527" s="275">
        <v>14692</v>
      </c>
      <c r="T527" s="275">
        <v>8467</v>
      </c>
      <c r="U527" s="275">
        <v>179225</v>
      </c>
      <c r="V527" s="276">
        <v>-1403</v>
      </c>
      <c r="W527" s="277">
        <v>177822</v>
      </c>
      <c r="X527" s="275">
        <v>5766</v>
      </c>
      <c r="Y527" s="275">
        <v>47834</v>
      </c>
      <c r="Z527" s="276">
        <v>125625</v>
      </c>
      <c r="AA527" s="285">
        <v>7182</v>
      </c>
      <c r="AB527" s="295">
        <v>170163.56432513331</v>
      </c>
    </row>
    <row r="528" spans="1:28" ht="13.5" customHeight="1">
      <c r="A528" s="18" t="s">
        <v>7</v>
      </c>
      <c r="B528" s="19" t="s">
        <v>8</v>
      </c>
      <c r="C528" s="274">
        <v>16</v>
      </c>
      <c r="D528" s="275">
        <v>3</v>
      </c>
      <c r="E528" s="275">
        <v>155</v>
      </c>
      <c r="F528" s="275">
        <v>152</v>
      </c>
      <c r="G528" s="275">
        <v>20386</v>
      </c>
      <c r="H528" s="275">
        <v>16181</v>
      </c>
      <c r="I528" s="275">
        <v>22560</v>
      </c>
      <c r="J528" s="275">
        <v>76623</v>
      </c>
      <c r="K528" s="275">
        <v>23252</v>
      </c>
      <c r="L528" s="275">
        <v>5761</v>
      </c>
      <c r="M528" s="275">
        <v>27289</v>
      </c>
      <c r="N528" s="275">
        <v>13052</v>
      </c>
      <c r="O528" s="275">
        <v>47197</v>
      </c>
      <c r="P528" s="275">
        <v>53335</v>
      </c>
      <c r="Q528" s="275">
        <v>14261</v>
      </c>
      <c r="R528" s="275">
        <v>19901</v>
      </c>
      <c r="S528" s="275">
        <v>43778</v>
      </c>
      <c r="T528" s="275">
        <v>18465</v>
      </c>
      <c r="U528" s="275">
        <v>402367</v>
      </c>
      <c r="V528" s="276">
        <v>-3149</v>
      </c>
      <c r="W528" s="277">
        <v>399218</v>
      </c>
      <c r="X528" s="275">
        <v>174</v>
      </c>
      <c r="Y528" s="275">
        <v>43098</v>
      </c>
      <c r="Z528" s="276">
        <v>359095</v>
      </c>
      <c r="AA528" s="285">
        <v>6563</v>
      </c>
      <c r="AB528" s="295">
        <v>387112.27356724045</v>
      </c>
    </row>
    <row r="529" spans="1:28" ht="13.5" customHeight="1">
      <c r="A529" s="16" t="s">
        <v>9</v>
      </c>
      <c r="B529" s="17" t="s">
        <v>10</v>
      </c>
      <c r="C529" s="274">
        <v>2441</v>
      </c>
      <c r="D529" s="275">
        <v>78</v>
      </c>
      <c r="E529" s="275">
        <v>365</v>
      </c>
      <c r="F529" s="275">
        <v>1913</v>
      </c>
      <c r="G529" s="275">
        <v>7218</v>
      </c>
      <c r="H529" s="275">
        <v>7871</v>
      </c>
      <c r="I529" s="275">
        <v>29278</v>
      </c>
      <c r="J529" s="275">
        <v>15592</v>
      </c>
      <c r="K529" s="275">
        <v>7534</v>
      </c>
      <c r="L529" s="275">
        <v>6464</v>
      </c>
      <c r="M529" s="275">
        <v>2735</v>
      </c>
      <c r="N529" s="275">
        <v>4512</v>
      </c>
      <c r="O529" s="275">
        <v>22362</v>
      </c>
      <c r="P529" s="275">
        <v>17039</v>
      </c>
      <c r="Q529" s="275">
        <v>14479</v>
      </c>
      <c r="R529" s="275">
        <v>16101</v>
      </c>
      <c r="S529" s="275">
        <v>33955</v>
      </c>
      <c r="T529" s="275">
        <v>9409</v>
      </c>
      <c r="U529" s="275">
        <v>199346</v>
      </c>
      <c r="V529" s="276">
        <v>-1560</v>
      </c>
      <c r="W529" s="277">
        <v>197786</v>
      </c>
      <c r="X529" s="275">
        <v>2884</v>
      </c>
      <c r="Y529" s="275">
        <v>38409</v>
      </c>
      <c r="Z529" s="276">
        <v>158053</v>
      </c>
      <c r="AA529" s="285">
        <v>5628</v>
      </c>
      <c r="AB529" s="295">
        <v>190582.91313021953</v>
      </c>
    </row>
    <row r="530" spans="1:28" ht="13.5" customHeight="1">
      <c r="A530" s="18" t="s">
        <v>11</v>
      </c>
      <c r="B530" s="19" t="s">
        <v>12</v>
      </c>
      <c r="C530" s="274">
        <v>3290</v>
      </c>
      <c r="D530" s="275">
        <v>0</v>
      </c>
      <c r="E530" s="275">
        <v>368</v>
      </c>
      <c r="F530" s="275">
        <v>1062</v>
      </c>
      <c r="G530" s="275">
        <v>20950</v>
      </c>
      <c r="H530" s="275">
        <v>3759</v>
      </c>
      <c r="I530" s="275">
        <v>13849</v>
      </c>
      <c r="J530" s="275">
        <v>11077</v>
      </c>
      <c r="K530" s="275">
        <v>9498</v>
      </c>
      <c r="L530" s="275">
        <v>3127</v>
      </c>
      <c r="M530" s="275">
        <v>717</v>
      </c>
      <c r="N530" s="275">
        <v>2204</v>
      </c>
      <c r="O530" s="275">
        <v>19071</v>
      </c>
      <c r="P530" s="275">
        <v>4835</v>
      </c>
      <c r="Q530" s="275">
        <v>8432</v>
      </c>
      <c r="R530" s="275">
        <v>11094</v>
      </c>
      <c r="S530" s="275">
        <v>19743</v>
      </c>
      <c r="T530" s="275">
        <v>7881</v>
      </c>
      <c r="U530" s="275">
        <v>140957</v>
      </c>
      <c r="V530" s="276">
        <v>-1103</v>
      </c>
      <c r="W530" s="277">
        <v>139854</v>
      </c>
      <c r="X530" s="275">
        <v>3658</v>
      </c>
      <c r="Y530" s="275">
        <v>35861</v>
      </c>
      <c r="Z530" s="276">
        <v>101438</v>
      </c>
      <c r="AA530" s="285">
        <v>4763</v>
      </c>
      <c r="AB530" s="295">
        <v>135755.45300072938</v>
      </c>
    </row>
    <row r="531" spans="1:28" ht="13.5" customHeight="1">
      <c r="A531" s="18" t="s">
        <v>13</v>
      </c>
      <c r="B531" s="19" t="s">
        <v>14</v>
      </c>
      <c r="C531" s="274">
        <v>886</v>
      </c>
      <c r="D531" s="275">
        <v>5</v>
      </c>
      <c r="E531" s="275">
        <v>128</v>
      </c>
      <c r="F531" s="275">
        <v>304</v>
      </c>
      <c r="G531" s="275">
        <v>12440</v>
      </c>
      <c r="H531" s="275">
        <v>11956</v>
      </c>
      <c r="I531" s="275">
        <v>34477</v>
      </c>
      <c r="J531" s="275">
        <v>23625</v>
      </c>
      <c r="K531" s="275">
        <v>9690</v>
      </c>
      <c r="L531" s="275">
        <v>7945</v>
      </c>
      <c r="M531" s="275">
        <v>3020</v>
      </c>
      <c r="N531" s="275">
        <v>11274</v>
      </c>
      <c r="O531" s="275">
        <v>52455</v>
      </c>
      <c r="P531" s="275">
        <v>37209</v>
      </c>
      <c r="Q531" s="275">
        <v>29329</v>
      </c>
      <c r="R531" s="275">
        <v>20266</v>
      </c>
      <c r="S531" s="275">
        <v>57826</v>
      </c>
      <c r="T531" s="275">
        <v>19319</v>
      </c>
      <c r="U531" s="275">
        <v>332154</v>
      </c>
      <c r="V531" s="276">
        <v>-2599</v>
      </c>
      <c r="W531" s="277">
        <v>329555</v>
      </c>
      <c r="X531" s="275">
        <v>1019</v>
      </c>
      <c r="Y531" s="275">
        <v>47221</v>
      </c>
      <c r="Z531" s="276">
        <v>283914</v>
      </c>
      <c r="AA531" s="285">
        <v>5852</v>
      </c>
      <c r="AB531" s="295">
        <v>319003.67613519245</v>
      </c>
    </row>
    <row r="532" spans="1:28" ht="13.5" customHeight="1">
      <c r="A532" s="18" t="s">
        <v>15</v>
      </c>
      <c r="B532" s="19" t="s">
        <v>45</v>
      </c>
      <c r="C532" s="274">
        <v>968</v>
      </c>
      <c r="D532" s="275">
        <v>0</v>
      </c>
      <c r="E532" s="275">
        <v>240</v>
      </c>
      <c r="F532" s="275">
        <v>0</v>
      </c>
      <c r="G532" s="275">
        <v>5950</v>
      </c>
      <c r="H532" s="275">
        <v>4421</v>
      </c>
      <c r="I532" s="275">
        <v>12640</v>
      </c>
      <c r="J532" s="275">
        <v>15648</v>
      </c>
      <c r="K532" s="275">
        <v>7626</v>
      </c>
      <c r="L532" s="275">
        <v>3704</v>
      </c>
      <c r="M532" s="275">
        <v>7836</v>
      </c>
      <c r="N532" s="275">
        <v>2402</v>
      </c>
      <c r="O532" s="275">
        <v>21807</v>
      </c>
      <c r="P532" s="275">
        <v>18969</v>
      </c>
      <c r="Q532" s="275">
        <v>6923</v>
      </c>
      <c r="R532" s="275">
        <v>8297</v>
      </c>
      <c r="S532" s="275">
        <v>31678</v>
      </c>
      <c r="T532" s="275">
        <v>7455</v>
      </c>
      <c r="U532" s="275">
        <v>156564</v>
      </c>
      <c r="V532" s="276">
        <v>-1226</v>
      </c>
      <c r="W532" s="277">
        <v>155338</v>
      </c>
      <c r="X532" s="275">
        <v>1208</v>
      </c>
      <c r="Y532" s="275">
        <v>18590</v>
      </c>
      <c r="Z532" s="276">
        <v>136766</v>
      </c>
      <c r="AA532" s="285">
        <v>5360</v>
      </c>
      <c r="AB532" s="295">
        <v>150476.47616333721</v>
      </c>
    </row>
    <row r="533" spans="1:28" ht="13.5" customHeight="1">
      <c r="A533" s="18" t="s">
        <v>16</v>
      </c>
      <c r="B533" s="19" t="s">
        <v>46</v>
      </c>
      <c r="C533" s="274">
        <v>2141</v>
      </c>
      <c r="D533" s="275">
        <v>3</v>
      </c>
      <c r="E533" s="275">
        <v>772</v>
      </c>
      <c r="F533" s="275">
        <v>516</v>
      </c>
      <c r="G533" s="275">
        <v>27015</v>
      </c>
      <c r="H533" s="275">
        <v>23598</v>
      </c>
      <c r="I533" s="275">
        <v>31702</v>
      </c>
      <c r="J533" s="275">
        <v>22480</v>
      </c>
      <c r="K533" s="275">
        <v>10766</v>
      </c>
      <c r="L533" s="275">
        <v>4986</v>
      </c>
      <c r="M533" s="275">
        <v>5405</v>
      </c>
      <c r="N533" s="275">
        <v>5469</v>
      </c>
      <c r="O533" s="275">
        <v>41329</v>
      </c>
      <c r="P533" s="275">
        <v>25227</v>
      </c>
      <c r="Q533" s="275">
        <v>22182</v>
      </c>
      <c r="R533" s="275">
        <v>16958</v>
      </c>
      <c r="S533" s="275">
        <v>36921</v>
      </c>
      <c r="T533" s="275">
        <v>14723</v>
      </c>
      <c r="U533" s="275">
        <v>292193</v>
      </c>
      <c r="V533" s="276">
        <v>-2287</v>
      </c>
      <c r="W533" s="277">
        <v>289906</v>
      </c>
      <c r="X533" s="275">
        <v>2916</v>
      </c>
      <c r="Y533" s="275">
        <v>59233</v>
      </c>
      <c r="Z533" s="276">
        <v>230044</v>
      </c>
      <c r="AA533" s="285">
        <v>5953</v>
      </c>
      <c r="AB533" s="295">
        <v>282215.75109249685</v>
      </c>
    </row>
    <row r="534" spans="1:28" ht="13.5" customHeight="1">
      <c r="A534" s="18">
        <v>10</v>
      </c>
      <c r="B534" s="19" t="s">
        <v>47</v>
      </c>
      <c r="C534" s="274">
        <v>7413</v>
      </c>
      <c r="D534" s="275">
        <v>66</v>
      </c>
      <c r="E534" s="275">
        <v>513</v>
      </c>
      <c r="F534" s="275">
        <v>395</v>
      </c>
      <c r="G534" s="275">
        <v>7689</v>
      </c>
      <c r="H534" s="275">
        <v>7540</v>
      </c>
      <c r="I534" s="275">
        <v>28942</v>
      </c>
      <c r="J534" s="275">
        <v>18148</v>
      </c>
      <c r="K534" s="275">
        <v>7813</v>
      </c>
      <c r="L534" s="275">
        <v>5444</v>
      </c>
      <c r="M534" s="275">
        <v>2041</v>
      </c>
      <c r="N534" s="275">
        <v>2751</v>
      </c>
      <c r="O534" s="275">
        <v>17739</v>
      </c>
      <c r="P534" s="275">
        <v>13605</v>
      </c>
      <c r="Q534" s="275">
        <v>25949</v>
      </c>
      <c r="R534" s="275">
        <v>10335</v>
      </c>
      <c r="S534" s="275">
        <v>20745</v>
      </c>
      <c r="T534" s="275">
        <v>7826</v>
      </c>
      <c r="U534" s="275">
        <v>184954</v>
      </c>
      <c r="V534" s="276">
        <v>-1448</v>
      </c>
      <c r="W534" s="277">
        <v>183506</v>
      </c>
      <c r="X534" s="275">
        <v>7992</v>
      </c>
      <c r="Y534" s="275">
        <v>37026</v>
      </c>
      <c r="Z534" s="276">
        <v>139936</v>
      </c>
      <c r="AA534" s="285">
        <v>5817</v>
      </c>
      <c r="AB534" s="295">
        <v>176174.3996860515</v>
      </c>
    </row>
    <row r="535" spans="1:28" ht="13.5" customHeight="1">
      <c r="A535" s="20">
        <v>11</v>
      </c>
      <c r="B535" s="21" t="s">
        <v>48</v>
      </c>
      <c r="C535" s="278">
        <v>2241</v>
      </c>
      <c r="D535" s="279">
        <v>8</v>
      </c>
      <c r="E535" s="279">
        <v>456</v>
      </c>
      <c r="F535" s="279">
        <v>152</v>
      </c>
      <c r="G535" s="279">
        <v>8883</v>
      </c>
      <c r="H535" s="279">
        <v>3907</v>
      </c>
      <c r="I535" s="279">
        <v>14312</v>
      </c>
      <c r="J535" s="279">
        <v>4144</v>
      </c>
      <c r="K535" s="279">
        <v>3580</v>
      </c>
      <c r="L535" s="279">
        <v>1122</v>
      </c>
      <c r="M535" s="279">
        <v>1593</v>
      </c>
      <c r="N535" s="279">
        <v>370</v>
      </c>
      <c r="O535" s="279">
        <v>13054</v>
      </c>
      <c r="P535" s="279">
        <v>4995</v>
      </c>
      <c r="Q535" s="279">
        <v>9292</v>
      </c>
      <c r="R535" s="279">
        <v>4731</v>
      </c>
      <c r="S535" s="279">
        <v>10698</v>
      </c>
      <c r="T535" s="279">
        <v>5257</v>
      </c>
      <c r="U535" s="279">
        <v>88795</v>
      </c>
      <c r="V535" s="280">
        <v>-695</v>
      </c>
      <c r="W535" s="281">
        <v>88100</v>
      </c>
      <c r="X535" s="279">
        <v>2705</v>
      </c>
      <c r="Y535" s="279">
        <v>23347</v>
      </c>
      <c r="Z535" s="280">
        <v>62743</v>
      </c>
      <c r="AA535" s="286">
        <v>5008</v>
      </c>
      <c r="AB535" s="296">
        <v>85301.179928497135</v>
      </c>
    </row>
    <row r="536" spans="1:28" ht="13.5" customHeight="1">
      <c r="A536" s="18">
        <v>12</v>
      </c>
      <c r="B536" s="19" t="s">
        <v>17</v>
      </c>
      <c r="C536" s="270">
        <v>1746</v>
      </c>
      <c r="D536" s="271">
        <v>80</v>
      </c>
      <c r="E536" s="271">
        <v>32</v>
      </c>
      <c r="F536" s="271">
        <v>30</v>
      </c>
      <c r="G536" s="271">
        <v>245</v>
      </c>
      <c r="H536" s="271">
        <v>590</v>
      </c>
      <c r="I536" s="271">
        <v>2169</v>
      </c>
      <c r="J536" s="271">
        <v>457</v>
      </c>
      <c r="K536" s="271">
        <v>144</v>
      </c>
      <c r="L536" s="271">
        <v>699</v>
      </c>
      <c r="M536" s="271">
        <v>0</v>
      </c>
      <c r="N536" s="271">
        <v>171</v>
      </c>
      <c r="O536" s="271">
        <v>1094</v>
      </c>
      <c r="P536" s="271">
        <v>86</v>
      </c>
      <c r="Q536" s="271">
        <v>1494</v>
      </c>
      <c r="R536" s="271">
        <v>882</v>
      </c>
      <c r="S536" s="271">
        <v>846</v>
      </c>
      <c r="T536" s="271">
        <v>649</v>
      </c>
      <c r="U536" s="271">
        <v>11414</v>
      </c>
      <c r="V536" s="272">
        <v>-89</v>
      </c>
      <c r="W536" s="273">
        <v>11325</v>
      </c>
      <c r="X536" s="271">
        <v>1858</v>
      </c>
      <c r="Y536" s="271">
        <v>2444</v>
      </c>
      <c r="Z536" s="272">
        <v>7112</v>
      </c>
      <c r="AA536" s="284">
        <v>3905</v>
      </c>
      <c r="AB536" s="294">
        <v>10913.362149404617</v>
      </c>
    </row>
    <row r="537" spans="1:28" ht="13.5" customHeight="1">
      <c r="A537" s="18">
        <v>13</v>
      </c>
      <c r="B537" s="19" t="s">
        <v>18</v>
      </c>
      <c r="C537" s="274">
        <v>1147</v>
      </c>
      <c r="D537" s="275">
        <v>10</v>
      </c>
      <c r="E537" s="275">
        <v>253</v>
      </c>
      <c r="F537" s="275">
        <v>0</v>
      </c>
      <c r="G537" s="275">
        <v>157</v>
      </c>
      <c r="H537" s="275">
        <v>305</v>
      </c>
      <c r="I537" s="275">
        <v>1778</v>
      </c>
      <c r="J537" s="275">
        <v>181</v>
      </c>
      <c r="K537" s="275">
        <v>381</v>
      </c>
      <c r="L537" s="275">
        <v>54</v>
      </c>
      <c r="M537" s="275">
        <v>0</v>
      </c>
      <c r="N537" s="275">
        <v>2</v>
      </c>
      <c r="O537" s="275">
        <v>781</v>
      </c>
      <c r="P537" s="275">
        <v>179</v>
      </c>
      <c r="Q537" s="275">
        <v>927</v>
      </c>
      <c r="R537" s="275">
        <v>665</v>
      </c>
      <c r="S537" s="275">
        <v>809</v>
      </c>
      <c r="T537" s="275">
        <v>380</v>
      </c>
      <c r="U537" s="275">
        <v>8009</v>
      </c>
      <c r="V537" s="276">
        <v>-62</v>
      </c>
      <c r="W537" s="277">
        <v>7947</v>
      </c>
      <c r="X537" s="275">
        <v>1410</v>
      </c>
      <c r="Y537" s="275">
        <v>1935</v>
      </c>
      <c r="Z537" s="276">
        <v>4664</v>
      </c>
      <c r="AA537" s="285">
        <v>4328</v>
      </c>
      <c r="AB537" s="295">
        <v>7617.4234116743801</v>
      </c>
    </row>
    <row r="538" spans="1:28" ht="13.5" customHeight="1">
      <c r="A538" s="18">
        <v>14</v>
      </c>
      <c r="B538" s="19" t="s">
        <v>19</v>
      </c>
      <c r="C538" s="274">
        <v>710</v>
      </c>
      <c r="D538" s="275">
        <v>8</v>
      </c>
      <c r="E538" s="275">
        <v>17</v>
      </c>
      <c r="F538" s="275">
        <v>0</v>
      </c>
      <c r="G538" s="275">
        <v>185</v>
      </c>
      <c r="H538" s="275">
        <v>38</v>
      </c>
      <c r="I538" s="275">
        <v>672</v>
      </c>
      <c r="J538" s="275">
        <v>101</v>
      </c>
      <c r="K538" s="275">
        <v>45</v>
      </c>
      <c r="L538" s="275">
        <v>101</v>
      </c>
      <c r="M538" s="275">
        <v>0</v>
      </c>
      <c r="N538" s="275">
        <v>5</v>
      </c>
      <c r="O538" s="275">
        <v>336</v>
      </c>
      <c r="P538" s="275">
        <v>1105</v>
      </c>
      <c r="Q538" s="275">
        <v>925</v>
      </c>
      <c r="R538" s="275">
        <v>468</v>
      </c>
      <c r="S538" s="275">
        <v>400</v>
      </c>
      <c r="T538" s="275">
        <v>268</v>
      </c>
      <c r="U538" s="275">
        <v>5384</v>
      </c>
      <c r="V538" s="276">
        <v>-42</v>
      </c>
      <c r="W538" s="277">
        <v>5342</v>
      </c>
      <c r="X538" s="275">
        <v>735</v>
      </c>
      <c r="Y538" s="275">
        <v>857</v>
      </c>
      <c r="Z538" s="276">
        <v>3792</v>
      </c>
      <c r="AA538" s="285">
        <v>4415</v>
      </c>
      <c r="AB538" s="295">
        <v>5151.690575149034</v>
      </c>
    </row>
    <row r="539" spans="1:28" ht="13.5" customHeight="1">
      <c r="A539" s="18">
        <v>15</v>
      </c>
      <c r="B539" s="19" t="s">
        <v>20</v>
      </c>
      <c r="C539" s="274">
        <v>1369</v>
      </c>
      <c r="D539" s="275">
        <v>3</v>
      </c>
      <c r="E539" s="275">
        <v>72</v>
      </c>
      <c r="F539" s="275">
        <v>30</v>
      </c>
      <c r="G539" s="275">
        <v>1914</v>
      </c>
      <c r="H539" s="275">
        <v>779</v>
      </c>
      <c r="I539" s="275">
        <v>3502</v>
      </c>
      <c r="J539" s="275">
        <v>585</v>
      </c>
      <c r="K539" s="275">
        <v>459</v>
      </c>
      <c r="L539" s="275">
        <v>557</v>
      </c>
      <c r="M539" s="275">
        <v>6</v>
      </c>
      <c r="N539" s="275">
        <v>158</v>
      </c>
      <c r="O539" s="275">
        <v>2202</v>
      </c>
      <c r="P539" s="275">
        <v>929</v>
      </c>
      <c r="Q539" s="275">
        <v>1459</v>
      </c>
      <c r="R539" s="275">
        <v>1368</v>
      </c>
      <c r="S539" s="275">
        <v>2227</v>
      </c>
      <c r="T539" s="275">
        <v>1448</v>
      </c>
      <c r="U539" s="275">
        <v>19067</v>
      </c>
      <c r="V539" s="276">
        <v>-150</v>
      </c>
      <c r="W539" s="277">
        <v>18917</v>
      </c>
      <c r="X539" s="275">
        <v>1444</v>
      </c>
      <c r="Y539" s="275">
        <v>5446</v>
      </c>
      <c r="Z539" s="276">
        <v>12177</v>
      </c>
      <c r="AA539" s="285">
        <v>4051</v>
      </c>
      <c r="AB539" s="295">
        <v>18207.405416736259</v>
      </c>
    </row>
    <row r="540" spans="1:28" ht="13.5" customHeight="1">
      <c r="A540" s="18">
        <v>16</v>
      </c>
      <c r="B540" s="19" t="s">
        <v>21</v>
      </c>
      <c r="C540" s="274">
        <v>1035</v>
      </c>
      <c r="D540" s="275">
        <v>3</v>
      </c>
      <c r="E540" s="275">
        <v>308</v>
      </c>
      <c r="F540" s="275">
        <v>1336</v>
      </c>
      <c r="G540" s="275">
        <v>1696</v>
      </c>
      <c r="H540" s="275">
        <v>1636</v>
      </c>
      <c r="I540" s="275">
        <v>5931</v>
      </c>
      <c r="J540" s="275">
        <v>1684</v>
      </c>
      <c r="K540" s="275">
        <v>2104</v>
      </c>
      <c r="L540" s="275">
        <v>2089</v>
      </c>
      <c r="M540" s="275">
        <v>0</v>
      </c>
      <c r="N540" s="275">
        <v>604</v>
      </c>
      <c r="O540" s="275">
        <v>4117</v>
      </c>
      <c r="P540" s="275">
        <v>2575</v>
      </c>
      <c r="Q540" s="275">
        <v>2417</v>
      </c>
      <c r="R540" s="275">
        <v>2019</v>
      </c>
      <c r="S540" s="275">
        <v>4678</v>
      </c>
      <c r="T540" s="275">
        <v>4994</v>
      </c>
      <c r="U540" s="275">
        <v>39226</v>
      </c>
      <c r="V540" s="276">
        <v>-307</v>
      </c>
      <c r="W540" s="277">
        <v>38919</v>
      </c>
      <c r="X540" s="275">
        <v>1346</v>
      </c>
      <c r="Y540" s="275">
        <v>8963</v>
      </c>
      <c r="Z540" s="276">
        <v>28917</v>
      </c>
      <c r="AA540" s="285">
        <v>4402</v>
      </c>
      <c r="AB540" s="295">
        <v>37090.441229717922</v>
      </c>
    </row>
    <row r="541" spans="1:28" ht="13.5" customHeight="1">
      <c r="A541" s="18">
        <v>17</v>
      </c>
      <c r="B541" s="19" t="s">
        <v>22</v>
      </c>
      <c r="C541" s="274">
        <v>649</v>
      </c>
      <c r="D541" s="275">
        <v>20</v>
      </c>
      <c r="E541" s="275">
        <v>266</v>
      </c>
      <c r="F541" s="275">
        <v>152</v>
      </c>
      <c r="G541" s="275">
        <v>459</v>
      </c>
      <c r="H541" s="275">
        <v>702</v>
      </c>
      <c r="I541" s="275">
        <v>4402</v>
      </c>
      <c r="J541" s="275">
        <v>1493</v>
      </c>
      <c r="K541" s="275">
        <v>939</v>
      </c>
      <c r="L541" s="275">
        <v>6120</v>
      </c>
      <c r="M541" s="275">
        <v>71</v>
      </c>
      <c r="N541" s="275">
        <v>214</v>
      </c>
      <c r="O541" s="275">
        <v>5354</v>
      </c>
      <c r="P541" s="275">
        <v>984</v>
      </c>
      <c r="Q541" s="275">
        <v>3328</v>
      </c>
      <c r="R541" s="275">
        <v>9827</v>
      </c>
      <c r="S541" s="275">
        <v>1923</v>
      </c>
      <c r="T541" s="275">
        <v>3931</v>
      </c>
      <c r="U541" s="275">
        <v>40834</v>
      </c>
      <c r="V541" s="276">
        <v>-319</v>
      </c>
      <c r="W541" s="277">
        <v>40515</v>
      </c>
      <c r="X541" s="275">
        <v>935</v>
      </c>
      <c r="Y541" s="275">
        <v>5013</v>
      </c>
      <c r="Z541" s="276">
        <v>34886</v>
      </c>
      <c r="AA541" s="285">
        <v>4003</v>
      </c>
      <c r="AB541" s="295">
        <v>38726.653589623624</v>
      </c>
    </row>
    <row r="542" spans="1:28" ht="13.5" customHeight="1">
      <c r="A542" s="18">
        <v>18</v>
      </c>
      <c r="B542" s="19" t="s">
        <v>23</v>
      </c>
      <c r="C542" s="274">
        <v>661</v>
      </c>
      <c r="D542" s="275">
        <v>10</v>
      </c>
      <c r="E542" s="275">
        <v>127</v>
      </c>
      <c r="F542" s="275">
        <v>0</v>
      </c>
      <c r="G542" s="275">
        <v>180</v>
      </c>
      <c r="H542" s="275">
        <v>800</v>
      </c>
      <c r="I542" s="275">
        <v>4733</v>
      </c>
      <c r="J542" s="275">
        <v>447</v>
      </c>
      <c r="K542" s="275">
        <v>1605</v>
      </c>
      <c r="L542" s="275">
        <v>118</v>
      </c>
      <c r="M542" s="275">
        <v>690</v>
      </c>
      <c r="N542" s="275">
        <v>11</v>
      </c>
      <c r="O542" s="275">
        <v>1853</v>
      </c>
      <c r="P542" s="275">
        <v>885</v>
      </c>
      <c r="Q542" s="275">
        <v>1475</v>
      </c>
      <c r="R542" s="275">
        <v>1291</v>
      </c>
      <c r="S542" s="275">
        <v>2132</v>
      </c>
      <c r="T542" s="275">
        <v>1125</v>
      </c>
      <c r="U542" s="275">
        <v>18143</v>
      </c>
      <c r="V542" s="276">
        <v>-142</v>
      </c>
      <c r="W542" s="277">
        <v>18001</v>
      </c>
      <c r="X542" s="275">
        <v>798</v>
      </c>
      <c r="Y542" s="275">
        <v>4913</v>
      </c>
      <c r="Z542" s="276">
        <v>12432</v>
      </c>
      <c r="AA542" s="285">
        <v>5597</v>
      </c>
      <c r="AB542" s="295">
        <v>17260.73492250896</v>
      </c>
    </row>
    <row r="543" spans="1:28" ht="13.5" customHeight="1">
      <c r="A543" s="18">
        <v>19</v>
      </c>
      <c r="B543" s="19" t="s">
        <v>24</v>
      </c>
      <c r="C543" s="274">
        <v>606</v>
      </c>
      <c r="D543" s="275">
        <v>0</v>
      </c>
      <c r="E543" s="275">
        <v>62</v>
      </c>
      <c r="F543" s="275">
        <v>91</v>
      </c>
      <c r="G543" s="275">
        <v>666</v>
      </c>
      <c r="H543" s="275">
        <v>8481</v>
      </c>
      <c r="I543" s="275">
        <v>7424</v>
      </c>
      <c r="J543" s="275">
        <v>1062</v>
      </c>
      <c r="K543" s="275">
        <v>2285</v>
      </c>
      <c r="L543" s="275">
        <v>522</v>
      </c>
      <c r="M543" s="275">
        <v>478</v>
      </c>
      <c r="N543" s="275">
        <v>354</v>
      </c>
      <c r="O543" s="275">
        <v>3570</v>
      </c>
      <c r="P543" s="275">
        <v>659</v>
      </c>
      <c r="Q543" s="275">
        <v>2099</v>
      </c>
      <c r="R543" s="275">
        <v>2166</v>
      </c>
      <c r="S543" s="275">
        <v>5439</v>
      </c>
      <c r="T543" s="275">
        <v>1531</v>
      </c>
      <c r="U543" s="275">
        <v>37495</v>
      </c>
      <c r="V543" s="276">
        <v>-294</v>
      </c>
      <c r="W543" s="277">
        <v>37201</v>
      </c>
      <c r="X543" s="275">
        <v>668</v>
      </c>
      <c r="Y543" s="275">
        <v>8181</v>
      </c>
      <c r="Z543" s="276">
        <v>28646</v>
      </c>
      <c r="AA543" s="285">
        <v>6230</v>
      </c>
      <c r="AB543" s="295">
        <v>36686.663240305024</v>
      </c>
    </row>
    <row r="544" spans="1:28" ht="13.5" customHeight="1">
      <c r="A544" s="20">
        <v>20</v>
      </c>
      <c r="B544" s="21" t="s">
        <v>25</v>
      </c>
      <c r="C544" s="278">
        <v>1775</v>
      </c>
      <c r="D544" s="279">
        <v>3</v>
      </c>
      <c r="E544" s="279">
        <v>79</v>
      </c>
      <c r="F544" s="279">
        <v>61</v>
      </c>
      <c r="G544" s="279">
        <v>703</v>
      </c>
      <c r="H544" s="279">
        <v>360</v>
      </c>
      <c r="I544" s="279">
        <v>3658</v>
      </c>
      <c r="J544" s="279">
        <v>656</v>
      </c>
      <c r="K544" s="279">
        <v>576</v>
      </c>
      <c r="L544" s="279">
        <v>304</v>
      </c>
      <c r="M544" s="279">
        <v>22</v>
      </c>
      <c r="N544" s="279">
        <v>19</v>
      </c>
      <c r="O544" s="279">
        <v>1144</v>
      </c>
      <c r="P544" s="279">
        <v>76</v>
      </c>
      <c r="Q544" s="279">
        <v>1481</v>
      </c>
      <c r="R544" s="279">
        <v>597</v>
      </c>
      <c r="S544" s="279">
        <v>1122</v>
      </c>
      <c r="T544" s="279">
        <v>837</v>
      </c>
      <c r="U544" s="279">
        <v>13473</v>
      </c>
      <c r="V544" s="280">
        <v>-105</v>
      </c>
      <c r="W544" s="281">
        <v>13368</v>
      </c>
      <c r="X544" s="279">
        <v>1857</v>
      </c>
      <c r="Y544" s="279">
        <v>4422</v>
      </c>
      <c r="Z544" s="280">
        <v>7194</v>
      </c>
      <c r="AA544" s="286">
        <v>4580</v>
      </c>
      <c r="AB544" s="296">
        <v>12867.109687013337</v>
      </c>
    </row>
    <row r="545" spans="1:28" ht="13.5" customHeight="1">
      <c r="A545" s="18">
        <v>21</v>
      </c>
      <c r="B545" s="19" t="s">
        <v>26</v>
      </c>
      <c r="C545" s="270">
        <v>896</v>
      </c>
      <c r="D545" s="271">
        <v>0</v>
      </c>
      <c r="E545" s="271">
        <v>84</v>
      </c>
      <c r="F545" s="271">
        <v>212</v>
      </c>
      <c r="G545" s="271">
        <v>4480</v>
      </c>
      <c r="H545" s="271">
        <v>2979</v>
      </c>
      <c r="I545" s="271">
        <v>11171</v>
      </c>
      <c r="J545" s="271">
        <v>3624</v>
      </c>
      <c r="K545" s="271">
        <v>740</v>
      </c>
      <c r="L545" s="271">
        <v>1557</v>
      </c>
      <c r="M545" s="271">
        <v>61</v>
      </c>
      <c r="N545" s="271">
        <v>964</v>
      </c>
      <c r="O545" s="271">
        <v>15354</v>
      </c>
      <c r="P545" s="271">
        <v>2099</v>
      </c>
      <c r="Q545" s="271">
        <v>3309</v>
      </c>
      <c r="R545" s="271">
        <v>4191</v>
      </c>
      <c r="S545" s="271">
        <v>6214</v>
      </c>
      <c r="T545" s="271">
        <v>5239</v>
      </c>
      <c r="U545" s="271">
        <v>63174</v>
      </c>
      <c r="V545" s="272">
        <v>-495</v>
      </c>
      <c r="W545" s="273">
        <v>62679</v>
      </c>
      <c r="X545" s="271">
        <v>980</v>
      </c>
      <c r="Y545" s="271">
        <v>15863</v>
      </c>
      <c r="Z545" s="272">
        <v>46331</v>
      </c>
      <c r="AA545" s="284">
        <v>4677</v>
      </c>
      <c r="AB545" s="294">
        <v>60742.012367488569</v>
      </c>
    </row>
    <row r="546" spans="1:28" ht="13.5" customHeight="1">
      <c r="A546" s="18">
        <v>22</v>
      </c>
      <c r="B546" s="19" t="s">
        <v>27</v>
      </c>
      <c r="C546" s="274">
        <v>27</v>
      </c>
      <c r="D546" s="275">
        <v>0</v>
      </c>
      <c r="E546" s="275">
        <v>6</v>
      </c>
      <c r="F546" s="275">
        <v>0</v>
      </c>
      <c r="G546" s="275">
        <v>1090</v>
      </c>
      <c r="H546" s="275">
        <v>945</v>
      </c>
      <c r="I546" s="275">
        <v>4894</v>
      </c>
      <c r="J546" s="275">
        <v>1640</v>
      </c>
      <c r="K546" s="275">
        <v>251</v>
      </c>
      <c r="L546" s="275">
        <v>543</v>
      </c>
      <c r="M546" s="275">
        <v>537</v>
      </c>
      <c r="N546" s="275">
        <v>1347</v>
      </c>
      <c r="O546" s="275">
        <v>4208</v>
      </c>
      <c r="P546" s="275">
        <v>2966</v>
      </c>
      <c r="Q546" s="275">
        <v>11580</v>
      </c>
      <c r="R546" s="275">
        <v>2049</v>
      </c>
      <c r="S546" s="275">
        <v>4348</v>
      </c>
      <c r="T546" s="275">
        <v>2077</v>
      </c>
      <c r="U546" s="275">
        <v>38508</v>
      </c>
      <c r="V546" s="276">
        <v>-302</v>
      </c>
      <c r="W546" s="277">
        <v>38206</v>
      </c>
      <c r="X546" s="275">
        <v>33</v>
      </c>
      <c r="Y546" s="275">
        <v>5984</v>
      </c>
      <c r="Z546" s="276">
        <v>32491</v>
      </c>
      <c r="AA546" s="285">
        <v>4899</v>
      </c>
      <c r="AB546" s="295">
        <v>37023.777266223544</v>
      </c>
    </row>
    <row r="547" spans="1:28" ht="13.5" customHeight="1">
      <c r="A547" s="18">
        <v>23</v>
      </c>
      <c r="B547" s="19" t="s">
        <v>28</v>
      </c>
      <c r="C547" s="274">
        <v>0</v>
      </c>
      <c r="D547" s="275">
        <v>5</v>
      </c>
      <c r="E547" s="275">
        <v>47</v>
      </c>
      <c r="F547" s="275">
        <v>0</v>
      </c>
      <c r="G547" s="275">
        <v>599</v>
      </c>
      <c r="H547" s="275">
        <v>6473</v>
      </c>
      <c r="I547" s="275">
        <v>10062</v>
      </c>
      <c r="J547" s="275">
        <v>8159</v>
      </c>
      <c r="K547" s="275">
        <v>557</v>
      </c>
      <c r="L547" s="275">
        <v>5236</v>
      </c>
      <c r="M547" s="275">
        <v>8642</v>
      </c>
      <c r="N547" s="275">
        <v>2886</v>
      </c>
      <c r="O547" s="275">
        <v>16313</v>
      </c>
      <c r="P547" s="275">
        <v>7397</v>
      </c>
      <c r="Q547" s="275">
        <v>3190</v>
      </c>
      <c r="R547" s="275">
        <v>3461</v>
      </c>
      <c r="S547" s="275">
        <v>6339</v>
      </c>
      <c r="T547" s="275">
        <v>6191</v>
      </c>
      <c r="U547" s="275">
        <v>85557</v>
      </c>
      <c r="V547" s="276">
        <v>-670</v>
      </c>
      <c r="W547" s="277">
        <v>84887</v>
      </c>
      <c r="X547" s="275">
        <v>52</v>
      </c>
      <c r="Y547" s="275">
        <v>10661</v>
      </c>
      <c r="Z547" s="276">
        <v>74844</v>
      </c>
      <c r="AA547" s="285">
        <v>5781</v>
      </c>
      <c r="AB547" s="295">
        <v>82526.271182908007</v>
      </c>
    </row>
    <row r="548" spans="1:28" ht="13.5" customHeight="1">
      <c r="A548" s="18">
        <v>24</v>
      </c>
      <c r="B548" s="19" t="s">
        <v>29</v>
      </c>
      <c r="C548" s="274">
        <v>58</v>
      </c>
      <c r="D548" s="275">
        <v>3</v>
      </c>
      <c r="E548" s="275">
        <v>70</v>
      </c>
      <c r="F548" s="275">
        <v>30</v>
      </c>
      <c r="G548" s="275">
        <v>314</v>
      </c>
      <c r="H548" s="275">
        <v>1038</v>
      </c>
      <c r="I548" s="275">
        <v>4976</v>
      </c>
      <c r="J548" s="275">
        <v>2432</v>
      </c>
      <c r="K548" s="275">
        <v>1028</v>
      </c>
      <c r="L548" s="275">
        <v>1872</v>
      </c>
      <c r="M548" s="275">
        <v>152</v>
      </c>
      <c r="N548" s="275">
        <v>500</v>
      </c>
      <c r="O548" s="275">
        <v>7617</v>
      </c>
      <c r="P548" s="275">
        <v>1897</v>
      </c>
      <c r="Q548" s="275">
        <v>1850</v>
      </c>
      <c r="R548" s="275">
        <v>4099</v>
      </c>
      <c r="S548" s="275">
        <v>12818</v>
      </c>
      <c r="T548" s="275">
        <v>2981</v>
      </c>
      <c r="U548" s="275">
        <v>43735</v>
      </c>
      <c r="V548" s="276">
        <v>-343</v>
      </c>
      <c r="W548" s="277">
        <v>43392</v>
      </c>
      <c r="X548" s="275">
        <v>131</v>
      </c>
      <c r="Y548" s="275">
        <v>5320</v>
      </c>
      <c r="Z548" s="276">
        <v>38284</v>
      </c>
      <c r="AA548" s="285">
        <v>5227</v>
      </c>
      <c r="AB548" s="295">
        <v>42031.436842341958</v>
      </c>
    </row>
    <row r="549" spans="1:28" ht="13.5" customHeight="1">
      <c r="A549" s="18">
        <v>25</v>
      </c>
      <c r="B549" s="19" t="s">
        <v>30</v>
      </c>
      <c r="C549" s="274">
        <v>140</v>
      </c>
      <c r="D549" s="275">
        <v>0</v>
      </c>
      <c r="E549" s="275">
        <v>12</v>
      </c>
      <c r="F549" s="275">
        <v>212</v>
      </c>
      <c r="G549" s="275">
        <v>7475</v>
      </c>
      <c r="H549" s="275">
        <v>11564</v>
      </c>
      <c r="I549" s="275">
        <v>5127</v>
      </c>
      <c r="J549" s="275">
        <v>3251</v>
      </c>
      <c r="K549" s="275">
        <v>1290</v>
      </c>
      <c r="L549" s="275">
        <v>519</v>
      </c>
      <c r="M549" s="275">
        <v>726</v>
      </c>
      <c r="N549" s="275">
        <v>200</v>
      </c>
      <c r="O549" s="275">
        <v>7488</v>
      </c>
      <c r="P549" s="275">
        <v>2108</v>
      </c>
      <c r="Q549" s="275">
        <v>1663</v>
      </c>
      <c r="R549" s="275">
        <v>1905</v>
      </c>
      <c r="S549" s="275">
        <v>10446</v>
      </c>
      <c r="T549" s="275">
        <v>3697</v>
      </c>
      <c r="U549" s="275">
        <v>57823</v>
      </c>
      <c r="V549" s="276">
        <v>-452</v>
      </c>
      <c r="W549" s="277">
        <v>57371</v>
      </c>
      <c r="X549" s="275">
        <v>152</v>
      </c>
      <c r="Y549" s="275">
        <v>12814</v>
      </c>
      <c r="Z549" s="276">
        <v>44857</v>
      </c>
      <c r="AA549" s="285">
        <v>6174</v>
      </c>
      <c r="AB549" s="295">
        <v>56552.25133122674</v>
      </c>
    </row>
    <row r="550" spans="1:28" ht="13.5" customHeight="1">
      <c r="A550" s="20">
        <v>26</v>
      </c>
      <c r="B550" s="21" t="s">
        <v>31</v>
      </c>
      <c r="C550" s="278">
        <v>156</v>
      </c>
      <c r="D550" s="279">
        <v>3</v>
      </c>
      <c r="E550" s="279">
        <v>80</v>
      </c>
      <c r="F550" s="279">
        <v>61</v>
      </c>
      <c r="G550" s="279">
        <v>21924</v>
      </c>
      <c r="H550" s="279">
        <v>6131</v>
      </c>
      <c r="I550" s="279">
        <v>6591</v>
      </c>
      <c r="J550" s="279">
        <v>13509</v>
      </c>
      <c r="K550" s="279">
        <v>6795</v>
      </c>
      <c r="L550" s="279">
        <v>1084</v>
      </c>
      <c r="M550" s="279">
        <v>389</v>
      </c>
      <c r="N550" s="279">
        <v>1967</v>
      </c>
      <c r="O550" s="279">
        <v>10414</v>
      </c>
      <c r="P550" s="279">
        <v>7394</v>
      </c>
      <c r="Q550" s="279">
        <v>2513</v>
      </c>
      <c r="R550" s="279">
        <v>21718</v>
      </c>
      <c r="S550" s="279">
        <v>19247</v>
      </c>
      <c r="T550" s="279">
        <v>5161</v>
      </c>
      <c r="U550" s="279">
        <v>125137</v>
      </c>
      <c r="V550" s="280">
        <v>-980</v>
      </c>
      <c r="W550" s="281">
        <v>124157</v>
      </c>
      <c r="X550" s="279">
        <v>239</v>
      </c>
      <c r="Y550" s="279">
        <v>28576</v>
      </c>
      <c r="Z550" s="280">
        <v>96322</v>
      </c>
      <c r="AA550" s="286">
        <v>5555</v>
      </c>
      <c r="AB550" s="296">
        <v>120376.61504692017</v>
      </c>
    </row>
    <row r="551" spans="1:28" ht="13.5" customHeight="1">
      <c r="A551" s="18">
        <v>27</v>
      </c>
      <c r="B551" s="19" t="s">
        <v>32</v>
      </c>
      <c r="C551" s="270">
        <v>161</v>
      </c>
      <c r="D551" s="271">
        <v>0</v>
      </c>
      <c r="E551" s="271">
        <v>130</v>
      </c>
      <c r="F551" s="271">
        <v>30</v>
      </c>
      <c r="G551" s="271">
        <v>784</v>
      </c>
      <c r="H551" s="271">
        <v>1202</v>
      </c>
      <c r="I551" s="271">
        <v>3376</v>
      </c>
      <c r="J551" s="271">
        <v>4590</v>
      </c>
      <c r="K551" s="271">
        <v>594</v>
      </c>
      <c r="L551" s="271">
        <v>914</v>
      </c>
      <c r="M551" s="271">
        <v>118</v>
      </c>
      <c r="N551" s="271">
        <v>1229</v>
      </c>
      <c r="O551" s="271">
        <v>6347</v>
      </c>
      <c r="P551" s="271">
        <v>1636</v>
      </c>
      <c r="Q551" s="271">
        <v>3089</v>
      </c>
      <c r="R551" s="271">
        <v>5142</v>
      </c>
      <c r="S551" s="271">
        <v>6567</v>
      </c>
      <c r="T551" s="271">
        <v>2113</v>
      </c>
      <c r="U551" s="271">
        <v>38022</v>
      </c>
      <c r="V551" s="272">
        <v>-298</v>
      </c>
      <c r="W551" s="273">
        <v>37724</v>
      </c>
      <c r="X551" s="271">
        <v>291</v>
      </c>
      <c r="Y551" s="271">
        <v>4190</v>
      </c>
      <c r="Z551" s="272">
        <v>33541</v>
      </c>
      <c r="AA551" s="284">
        <v>5050</v>
      </c>
      <c r="AB551" s="294">
        <v>36563.762099498512</v>
      </c>
    </row>
    <row r="552" spans="1:28" ht="13.5" customHeight="1">
      <c r="A552" s="18">
        <v>28</v>
      </c>
      <c r="B552" s="19" t="s">
        <v>33</v>
      </c>
      <c r="C552" s="274">
        <v>676</v>
      </c>
      <c r="D552" s="275">
        <v>10</v>
      </c>
      <c r="E552" s="275">
        <v>0</v>
      </c>
      <c r="F552" s="275">
        <v>91</v>
      </c>
      <c r="G552" s="275">
        <v>4235</v>
      </c>
      <c r="H552" s="275">
        <v>3799</v>
      </c>
      <c r="I552" s="275">
        <v>9435</v>
      </c>
      <c r="J552" s="275">
        <v>12395</v>
      </c>
      <c r="K552" s="275">
        <v>2595</v>
      </c>
      <c r="L552" s="275">
        <v>1956</v>
      </c>
      <c r="M552" s="275">
        <v>398</v>
      </c>
      <c r="N552" s="275">
        <v>1841</v>
      </c>
      <c r="O552" s="275">
        <v>13675</v>
      </c>
      <c r="P552" s="275">
        <v>4975</v>
      </c>
      <c r="Q552" s="275">
        <v>3152</v>
      </c>
      <c r="R552" s="275">
        <v>6037</v>
      </c>
      <c r="S552" s="275">
        <v>25378</v>
      </c>
      <c r="T552" s="275">
        <v>6117</v>
      </c>
      <c r="U552" s="275">
        <v>96765</v>
      </c>
      <c r="V552" s="276">
        <v>-758</v>
      </c>
      <c r="W552" s="277">
        <v>96007</v>
      </c>
      <c r="X552" s="275">
        <v>686</v>
      </c>
      <c r="Y552" s="275">
        <v>13761</v>
      </c>
      <c r="Z552" s="276">
        <v>82318</v>
      </c>
      <c r="AA552" s="285">
        <v>4819</v>
      </c>
      <c r="AB552" s="295">
        <v>92992.651581516795</v>
      </c>
    </row>
    <row r="553" spans="1:28" ht="13.5" customHeight="1">
      <c r="A553" s="18">
        <v>29</v>
      </c>
      <c r="B553" s="19" t="s">
        <v>34</v>
      </c>
      <c r="C553" s="274">
        <v>2</v>
      </c>
      <c r="D553" s="275">
        <v>3</v>
      </c>
      <c r="E553" s="275">
        <v>16</v>
      </c>
      <c r="F553" s="275">
        <v>0</v>
      </c>
      <c r="G553" s="275">
        <v>14</v>
      </c>
      <c r="H553" s="275">
        <v>114</v>
      </c>
      <c r="I553" s="275">
        <v>1217</v>
      </c>
      <c r="J553" s="275">
        <v>28</v>
      </c>
      <c r="K553" s="275">
        <v>107</v>
      </c>
      <c r="L553" s="275">
        <v>167</v>
      </c>
      <c r="M553" s="275">
        <v>6</v>
      </c>
      <c r="N553" s="275">
        <v>4</v>
      </c>
      <c r="O553" s="275">
        <v>100</v>
      </c>
      <c r="P553" s="275">
        <v>121</v>
      </c>
      <c r="Q553" s="275">
        <v>470</v>
      </c>
      <c r="R553" s="275">
        <v>341</v>
      </c>
      <c r="S553" s="275">
        <v>192</v>
      </c>
      <c r="T553" s="275">
        <v>587</v>
      </c>
      <c r="U553" s="275">
        <v>3489</v>
      </c>
      <c r="V553" s="276">
        <v>-27</v>
      </c>
      <c r="W553" s="277">
        <v>3462</v>
      </c>
      <c r="X553" s="275">
        <v>21</v>
      </c>
      <c r="Y553" s="275">
        <v>1231</v>
      </c>
      <c r="Z553" s="276">
        <v>2237</v>
      </c>
      <c r="AA553" s="285">
        <v>6063</v>
      </c>
      <c r="AB553" s="295">
        <v>3290.8898884945438</v>
      </c>
    </row>
    <row r="554" spans="1:28" ht="13.5" customHeight="1">
      <c r="A554" s="18">
        <v>30</v>
      </c>
      <c r="B554" s="19" t="s">
        <v>35</v>
      </c>
      <c r="C554" s="274">
        <v>2</v>
      </c>
      <c r="D554" s="275">
        <v>0</v>
      </c>
      <c r="E554" s="275">
        <v>26</v>
      </c>
      <c r="F554" s="275">
        <v>0</v>
      </c>
      <c r="G554" s="275">
        <v>28</v>
      </c>
      <c r="H554" s="275">
        <v>137</v>
      </c>
      <c r="I554" s="275">
        <v>791</v>
      </c>
      <c r="J554" s="275">
        <v>94</v>
      </c>
      <c r="K554" s="275">
        <v>323</v>
      </c>
      <c r="L554" s="275">
        <v>341</v>
      </c>
      <c r="M554" s="275">
        <v>0</v>
      </c>
      <c r="N554" s="275">
        <v>6</v>
      </c>
      <c r="O554" s="275">
        <v>173</v>
      </c>
      <c r="P554" s="275">
        <v>220</v>
      </c>
      <c r="Q554" s="275">
        <v>391</v>
      </c>
      <c r="R554" s="275">
        <v>553</v>
      </c>
      <c r="S554" s="275">
        <v>257</v>
      </c>
      <c r="T554" s="275">
        <v>848</v>
      </c>
      <c r="U554" s="275">
        <v>4190</v>
      </c>
      <c r="V554" s="276">
        <v>-33</v>
      </c>
      <c r="W554" s="277">
        <v>4157</v>
      </c>
      <c r="X554" s="275">
        <v>28</v>
      </c>
      <c r="Y554" s="275">
        <v>819</v>
      </c>
      <c r="Z554" s="276">
        <v>3343</v>
      </c>
      <c r="AA554" s="285">
        <v>5343</v>
      </c>
      <c r="AB554" s="295">
        <v>3948.6422082041172</v>
      </c>
    </row>
    <row r="555" spans="1:28" ht="13.5" customHeight="1">
      <c r="A555" s="18">
        <v>31</v>
      </c>
      <c r="B555" s="19" t="s">
        <v>36</v>
      </c>
      <c r="C555" s="274">
        <v>62</v>
      </c>
      <c r="D555" s="275">
        <v>0</v>
      </c>
      <c r="E555" s="275">
        <v>7</v>
      </c>
      <c r="F555" s="275">
        <v>0</v>
      </c>
      <c r="G555" s="275">
        <v>183</v>
      </c>
      <c r="H555" s="275">
        <v>147</v>
      </c>
      <c r="I555" s="275">
        <v>1065</v>
      </c>
      <c r="J555" s="275">
        <v>25</v>
      </c>
      <c r="K555" s="275">
        <v>173</v>
      </c>
      <c r="L555" s="275">
        <v>45</v>
      </c>
      <c r="M555" s="275">
        <v>0</v>
      </c>
      <c r="N555" s="275">
        <v>2</v>
      </c>
      <c r="O555" s="275">
        <v>209</v>
      </c>
      <c r="P555" s="275">
        <v>0</v>
      </c>
      <c r="Q555" s="275">
        <v>485</v>
      </c>
      <c r="R555" s="275">
        <v>273</v>
      </c>
      <c r="S555" s="275">
        <v>432</v>
      </c>
      <c r="T555" s="275">
        <v>81</v>
      </c>
      <c r="U555" s="275">
        <v>3189</v>
      </c>
      <c r="V555" s="276">
        <v>-25</v>
      </c>
      <c r="W555" s="277">
        <v>3164</v>
      </c>
      <c r="X555" s="275">
        <v>69</v>
      </c>
      <c r="Y555" s="275">
        <v>1248</v>
      </c>
      <c r="Z555" s="276">
        <v>1872</v>
      </c>
      <c r="AA555" s="285">
        <v>7158</v>
      </c>
      <c r="AB555" s="295">
        <v>3043.7662084988292</v>
      </c>
    </row>
    <row r="556" spans="1:28" ht="13.5" customHeight="1">
      <c r="A556" s="18">
        <v>32</v>
      </c>
      <c r="B556" s="19" t="s">
        <v>37</v>
      </c>
      <c r="C556" s="274">
        <v>0</v>
      </c>
      <c r="D556" s="275">
        <v>0</v>
      </c>
      <c r="E556" s="275">
        <v>50</v>
      </c>
      <c r="F556" s="275">
        <v>0</v>
      </c>
      <c r="G556" s="275">
        <v>0</v>
      </c>
      <c r="H556" s="275">
        <v>7</v>
      </c>
      <c r="I556" s="275">
        <v>659</v>
      </c>
      <c r="J556" s="275">
        <v>16</v>
      </c>
      <c r="K556" s="275">
        <v>35</v>
      </c>
      <c r="L556" s="275">
        <v>22</v>
      </c>
      <c r="M556" s="275">
        <v>0</v>
      </c>
      <c r="N556" s="275">
        <v>17</v>
      </c>
      <c r="O556" s="275">
        <v>54</v>
      </c>
      <c r="P556" s="275">
        <v>0</v>
      </c>
      <c r="Q556" s="275">
        <v>227</v>
      </c>
      <c r="R556" s="275">
        <v>197</v>
      </c>
      <c r="S556" s="275">
        <v>124</v>
      </c>
      <c r="T556" s="275">
        <v>15</v>
      </c>
      <c r="U556" s="275">
        <v>1423</v>
      </c>
      <c r="V556" s="276">
        <v>-11</v>
      </c>
      <c r="W556" s="277">
        <v>1412</v>
      </c>
      <c r="X556" s="275">
        <v>50</v>
      </c>
      <c r="Y556" s="275">
        <v>659</v>
      </c>
      <c r="Z556" s="276">
        <v>714</v>
      </c>
      <c r="AA556" s="285">
        <v>5581</v>
      </c>
      <c r="AB556" s="295">
        <v>1340.4161570060996</v>
      </c>
    </row>
    <row r="557" spans="1:28" ht="13.5" customHeight="1">
      <c r="A557" s="18">
        <v>33</v>
      </c>
      <c r="B557" s="19" t="s">
        <v>38</v>
      </c>
      <c r="C557" s="274">
        <v>1077</v>
      </c>
      <c r="D557" s="275">
        <v>8</v>
      </c>
      <c r="E557" s="275">
        <v>29</v>
      </c>
      <c r="F557" s="275">
        <v>121</v>
      </c>
      <c r="G557" s="275">
        <v>1655</v>
      </c>
      <c r="H557" s="275">
        <v>223</v>
      </c>
      <c r="I557" s="275">
        <v>1841</v>
      </c>
      <c r="J557" s="275">
        <v>223</v>
      </c>
      <c r="K557" s="275">
        <v>134</v>
      </c>
      <c r="L557" s="275">
        <v>99</v>
      </c>
      <c r="M557" s="275">
        <v>0</v>
      </c>
      <c r="N557" s="275">
        <v>4</v>
      </c>
      <c r="O557" s="275">
        <v>101</v>
      </c>
      <c r="P557" s="275">
        <v>109</v>
      </c>
      <c r="Q557" s="275">
        <v>795</v>
      </c>
      <c r="R557" s="275">
        <v>368</v>
      </c>
      <c r="S557" s="275">
        <v>227</v>
      </c>
      <c r="T557" s="275">
        <v>155</v>
      </c>
      <c r="U557" s="275">
        <v>7169</v>
      </c>
      <c r="V557" s="276">
        <v>-57</v>
      </c>
      <c r="W557" s="277">
        <v>7112</v>
      </c>
      <c r="X557" s="275">
        <v>1114</v>
      </c>
      <c r="Y557" s="275">
        <v>3617</v>
      </c>
      <c r="Z557" s="276">
        <v>2438</v>
      </c>
      <c r="AA557" s="285">
        <v>6322</v>
      </c>
      <c r="AB557" s="295">
        <v>6813.3218964881444</v>
      </c>
    </row>
    <row r="558" spans="1:28" ht="13.5" customHeight="1">
      <c r="A558" s="18">
        <v>34</v>
      </c>
      <c r="B558" s="19" t="s">
        <v>39</v>
      </c>
      <c r="C558" s="274">
        <v>301</v>
      </c>
      <c r="D558" s="275">
        <v>0</v>
      </c>
      <c r="E558" s="275">
        <v>12</v>
      </c>
      <c r="F558" s="275">
        <v>0</v>
      </c>
      <c r="G558" s="275">
        <v>92</v>
      </c>
      <c r="H558" s="275">
        <v>92</v>
      </c>
      <c r="I558" s="275">
        <v>1457</v>
      </c>
      <c r="J558" s="275">
        <v>56</v>
      </c>
      <c r="K558" s="275">
        <v>114</v>
      </c>
      <c r="L558" s="275">
        <v>128</v>
      </c>
      <c r="M558" s="275">
        <v>0</v>
      </c>
      <c r="N558" s="275">
        <v>2</v>
      </c>
      <c r="O558" s="275">
        <v>33</v>
      </c>
      <c r="P558" s="275">
        <v>73</v>
      </c>
      <c r="Q558" s="275">
        <v>425</v>
      </c>
      <c r="R558" s="275">
        <v>285</v>
      </c>
      <c r="S558" s="275">
        <v>175</v>
      </c>
      <c r="T558" s="275">
        <v>80</v>
      </c>
      <c r="U558" s="275">
        <v>3325</v>
      </c>
      <c r="V558" s="276">
        <v>-26</v>
      </c>
      <c r="W558" s="277">
        <v>3299</v>
      </c>
      <c r="X558" s="275">
        <v>313</v>
      </c>
      <c r="Y558" s="275">
        <v>1549</v>
      </c>
      <c r="Z558" s="276">
        <v>1463</v>
      </c>
      <c r="AA558" s="285">
        <v>5778</v>
      </c>
      <c r="AB558" s="295">
        <v>3147.9805871364892</v>
      </c>
    </row>
    <row r="559" spans="1:28" ht="13.5" customHeight="1">
      <c r="A559" s="18">
        <v>35</v>
      </c>
      <c r="B559" s="19" t="s">
        <v>40</v>
      </c>
      <c r="C559" s="274">
        <v>142</v>
      </c>
      <c r="D559" s="275">
        <v>5</v>
      </c>
      <c r="E559" s="275">
        <v>88</v>
      </c>
      <c r="F559" s="275">
        <v>30</v>
      </c>
      <c r="G559" s="275">
        <v>261</v>
      </c>
      <c r="H559" s="275">
        <v>192</v>
      </c>
      <c r="I559" s="275">
        <v>1958</v>
      </c>
      <c r="J559" s="275">
        <v>210</v>
      </c>
      <c r="K559" s="275">
        <v>247</v>
      </c>
      <c r="L559" s="275">
        <v>76</v>
      </c>
      <c r="M559" s="275">
        <v>0</v>
      </c>
      <c r="N559" s="275">
        <v>18</v>
      </c>
      <c r="O559" s="275">
        <v>139</v>
      </c>
      <c r="P559" s="275">
        <v>69</v>
      </c>
      <c r="Q559" s="275">
        <v>587</v>
      </c>
      <c r="R559" s="275">
        <v>541</v>
      </c>
      <c r="S559" s="275">
        <v>375</v>
      </c>
      <c r="T559" s="275">
        <v>127</v>
      </c>
      <c r="U559" s="275">
        <v>5065</v>
      </c>
      <c r="V559" s="276">
        <v>-39</v>
      </c>
      <c r="W559" s="277">
        <v>5026</v>
      </c>
      <c r="X559" s="275">
        <v>235</v>
      </c>
      <c r="Y559" s="275">
        <v>2249</v>
      </c>
      <c r="Z559" s="276">
        <v>2581</v>
      </c>
      <c r="AA559" s="285">
        <v>5824</v>
      </c>
      <c r="AB559" s="295">
        <v>4755.3451479493087</v>
      </c>
    </row>
    <row r="560" spans="1:28" ht="13.5" customHeight="1">
      <c r="A560" s="18">
        <v>36</v>
      </c>
      <c r="B560" s="19" t="s">
        <v>41</v>
      </c>
      <c r="C560" s="274">
        <v>450</v>
      </c>
      <c r="D560" s="275">
        <v>0</v>
      </c>
      <c r="E560" s="275">
        <v>122</v>
      </c>
      <c r="F560" s="275">
        <v>0</v>
      </c>
      <c r="G560" s="275">
        <v>112</v>
      </c>
      <c r="H560" s="275">
        <v>145</v>
      </c>
      <c r="I560" s="275">
        <v>2658</v>
      </c>
      <c r="J560" s="275">
        <v>159</v>
      </c>
      <c r="K560" s="275">
        <v>428</v>
      </c>
      <c r="L560" s="275">
        <v>82</v>
      </c>
      <c r="M560" s="275">
        <v>0</v>
      </c>
      <c r="N560" s="275">
        <v>17</v>
      </c>
      <c r="O560" s="275">
        <v>241</v>
      </c>
      <c r="P560" s="275">
        <v>29</v>
      </c>
      <c r="Q560" s="275">
        <v>715</v>
      </c>
      <c r="R560" s="275">
        <v>379</v>
      </c>
      <c r="S560" s="275">
        <v>418</v>
      </c>
      <c r="T560" s="275">
        <v>128</v>
      </c>
      <c r="U560" s="275">
        <v>6083</v>
      </c>
      <c r="V560" s="276">
        <v>-48</v>
      </c>
      <c r="W560" s="277">
        <v>6035</v>
      </c>
      <c r="X560" s="275">
        <v>572</v>
      </c>
      <c r="Y560" s="275">
        <v>2770</v>
      </c>
      <c r="Z560" s="276">
        <v>2741</v>
      </c>
      <c r="AA560" s="285">
        <v>6441</v>
      </c>
      <c r="AB560" s="295">
        <v>5707.106130359799</v>
      </c>
    </row>
    <row r="561" spans="1:28" ht="13.5" customHeight="1">
      <c r="A561" s="18">
        <v>37</v>
      </c>
      <c r="B561" s="19" t="s">
        <v>49</v>
      </c>
      <c r="C561" s="274">
        <v>1260</v>
      </c>
      <c r="D561" s="275">
        <v>0</v>
      </c>
      <c r="E561" s="275">
        <v>474</v>
      </c>
      <c r="F561" s="275">
        <v>61</v>
      </c>
      <c r="G561" s="275">
        <v>1211</v>
      </c>
      <c r="H561" s="275">
        <v>1203</v>
      </c>
      <c r="I561" s="275">
        <v>1619</v>
      </c>
      <c r="J561" s="275">
        <v>1219</v>
      </c>
      <c r="K561" s="275">
        <v>778</v>
      </c>
      <c r="L561" s="275">
        <v>550</v>
      </c>
      <c r="M561" s="275">
        <v>0</v>
      </c>
      <c r="N561" s="275">
        <v>203</v>
      </c>
      <c r="O561" s="275">
        <v>1868</v>
      </c>
      <c r="P561" s="275">
        <v>1028</v>
      </c>
      <c r="Q561" s="275">
        <v>3813</v>
      </c>
      <c r="R561" s="275">
        <v>1863</v>
      </c>
      <c r="S561" s="275">
        <v>2019</v>
      </c>
      <c r="T561" s="275">
        <v>1048</v>
      </c>
      <c r="U561" s="275">
        <v>20217</v>
      </c>
      <c r="V561" s="276">
        <v>-158</v>
      </c>
      <c r="W561" s="277">
        <v>20059</v>
      </c>
      <c r="X561" s="275">
        <v>1734</v>
      </c>
      <c r="Y561" s="275">
        <v>2891</v>
      </c>
      <c r="Z561" s="276">
        <v>15592</v>
      </c>
      <c r="AA561" s="285">
        <v>4430</v>
      </c>
      <c r="AB561" s="295">
        <v>19357.213329360759</v>
      </c>
    </row>
    <row r="562" spans="1:28" ht="13.5" customHeight="1">
      <c r="A562" s="20">
        <v>38</v>
      </c>
      <c r="B562" s="21" t="s">
        <v>50</v>
      </c>
      <c r="C562" s="278">
        <v>2741</v>
      </c>
      <c r="D562" s="279">
        <v>0</v>
      </c>
      <c r="E562" s="279">
        <v>112</v>
      </c>
      <c r="F562" s="279">
        <v>91</v>
      </c>
      <c r="G562" s="279">
        <v>2125</v>
      </c>
      <c r="H562" s="279">
        <v>2114</v>
      </c>
      <c r="I562" s="279">
        <v>7638</v>
      </c>
      <c r="J562" s="279">
        <v>3226</v>
      </c>
      <c r="K562" s="279">
        <v>1830</v>
      </c>
      <c r="L562" s="279">
        <v>622</v>
      </c>
      <c r="M562" s="279">
        <v>936</v>
      </c>
      <c r="N562" s="279">
        <v>869</v>
      </c>
      <c r="O562" s="279">
        <v>9045</v>
      </c>
      <c r="P562" s="279">
        <v>3283</v>
      </c>
      <c r="Q562" s="279">
        <v>6248</v>
      </c>
      <c r="R562" s="279">
        <v>6655</v>
      </c>
      <c r="S562" s="279">
        <v>12247</v>
      </c>
      <c r="T562" s="279">
        <v>2848</v>
      </c>
      <c r="U562" s="279">
        <v>62630</v>
      </c>
      <c r="V562" s="280">
        <v>-490</v>
      </c>
      <c r="W562" s="281">
        <v>62140</v>
      </c>
      <c r="X562" s="279">
        <v>2853</v>
      </c>
      <c r="Y562" s="279">
        <v>9854</v>
      </c>
      <c r="Z562" s="280">
        <v>49923</v>
      </c>
      <c r="AA562" s="286">
        <v>5176</v>
      </c>
      <c r="AB562" s="296">
        <v>60476.657359588251</v>
      </c>
    </row>
    <row r="563" spans="1:28" ht="13.5" customHeight="1">
      <c r="A563" s="20">
        <v>39</v>
      </c>
      <c r="B563" s="21" t="s">
        <v>42</v>
      </c>
      <c r="C563" s="266">
        <v>868</v>
      </c>
      <c r="D563" s="267">
        <v>0</v>
      </c>
      <c r="E563" s="267">
        <v>1</v>
      </c>
      <c r="F563" s="267">
        <v>0</v>
      </c>
      <c r="G563" s="267">
        <v>524</v>
      </c>
      <c r="H563" s="267">
        <v>172</v>
      </c>
      <c r="I563" s="267">
        <v>551</v>
      </c>
      <c r="J563" s="267">
        <v>115</v>
      </c>
      <c r="K563" s="267">
        <v>160</v>
      </c>
      <c r="L563" s="267">
        <v>57</v>
      </c>
      <c r="M563" s="267">
        <v>0</v>
      </c>
      <c r="N563" s="267">
        <v>2</v>
      </c>
      <c r="O563" s="267">
        <v>202</v>
      </c>
      <c r="P563" s="267">
        <v>88</v>
      </c>
      <c r="Q563" s="267">
        <v>553</v>
      </c>
      <c r="R563" s="267">
        <v>387</v>
      </c>
      <c r="S563" s="267">
        <v>165</v>
      </c>
      <c r="T563" s="267">
        <v>105</v>
      </c>
      <c r="U563" s="267">
        <v>3950</v>
      </c>
      <c r="V563" s="268">
        <v>-31</v>
      </c>
      <c r="W563" s="269">
        <v>3919</v>
      </c>
      <c r="X563" s="267">
        <v>869</v>
      </c>
      <c r="Y563" s="267">
        <v>1075</v>
      </c>
      <c r="Z563" s="268">
        <v>2006</v>
      </c>
      <c r="AA563" s="283">
        <v>5005</v>
      </c>
      <c r="AB563" s="293">
        <v>3871.7684909748127</v>
      </c>
    </row>
    <row r="564" spans="1:28" ht="13.5" customHeight="1">
      <c r="A564" s="18">
        <v>40</v>
      </c>
      <c r="B564" s="19" t="s">
        <v>43</v>
      </c>
      <c r="C564" s="270">
        <v>1251</v>
      </c>
      <c r="D564" s="271">
        <v>10</v>
      </c>
      <c r="E564" s="271">
        <v>90</v>
      </c>
      <c r="F564" s="271">
        <v>0</v>
      </c>
      <c r="G564" s="271">
        <v>1029</v>
      </c>
      <c r="H564" s="271">
        <v>404</v>
      </c>
      <c r="I564" s="271">
        <v>3576</v>
      </c>
      <c r="J564" s="271">
        <v>359</v>
      </c>
      <c r="K564" s="271">
        <v>953</v>
      </c>
      <c r="L564" s="271">
        <v>1332</v>
      </c>
      <c r="M564" s="271">
        <v>0</v>
      </c>
      <c r="N564" s="271">
        <v>15</v>
      </c>
      <c r="O564" s="271">
        <v>1011</v>
      </c>
      <c r="P564" s="271">
        <v>869</v>
      </c>
      <c r="Q564" s="271">
        <v>670</v>
      </c>
      <c r="R564" s="271">
        <v>2166</v>
      </c>
      <c r="S564" s="271">
        <v>486</v>
      </c>
      <c r="T564" s="271">
        <v>2096</v>
      </c>
      <c r="U564" s="271">
        <v>16317</v>
      </c>
      <c r="V564" s="272">
        <v>-128</v>
      </c>
      <c r="W564" s="273">
        <v>16189</v>
      </c>
      <c r="X564" s="271">
        <v>1351</v>
      </c>
      <c r="Y564" s="271">
        <v>4605</v>
      </c>
      <c r="Z564" s="272">
        <v>10361</v>
      </c>
      <c r="AA564" s="284">
        <v>5229</v>
      </c>
      <c r="AB564" s="294">
        <v>15472.055426395867</v>
      </c>
    </row>
    <row r="565" spans="1:28" ht="13.5" customHeight="1">
      <c r="A565" s="20">
        <v>41</v>
      </c>
      <c r="B565" s="21" t="s">
        <v>44</v>
      </c>
      <c r="C565" s="278">
        <v>175</v>
      </c>
      <c r="D565" s="279">
        <v>0</v>
      </c>
      <c r="E565" s="279">
        <v>36</v>
      </c>
      <c r="F565" s="279">
        <v>152</v>
      </c>
      <c r="G565" s="279">
        <v>523</v>
      </c>
      <c r="H565" s="279">
        <v>259</v>
      </c>
      <c r="I565" s="279">
        <v>1713</v>
      </c>
      <c r="J565" s="279">
        <v>174</v>
      </c>
      <c r="K565" s="279">
        <v>260</v>
      </c>
      <c r="L565" s="279">
        <v>209</v>
      </c>
      <c r="M565" s="279">
        <v>0</v>
      </c>
      <c r="N565" s="279">
        <v>18</v>
      </c>
      <c r="O565" s="279">
        <v>317</v>
      </c>
      <c r="P565" s="279">
        <v>293</v>
      </c>
      <c r="Q565" s="279">
        <v>2957</v>
      </c>
      <c r="R565" s="279">
        <v>708</v>
      </c>
      <c r="S565" s="279">
        <v>471</v>
      </c>
      <c r="T565" s="279">
        <v>239</v>
      </c>
      <c r="U565" s="279">
        <v>8504</v>
      </c>
      <c r="V565" s="280">
        <v>-67</v>
      </c>
      <c r="W565" s="281">
        <v>8437</v>
      </c>
      <c r="X565" s="279">
        <v>211</v>
      </c>
      <c r="Y565" s="279">
        <v>2388</v>
      </c>
      <c r="Z565" s="280">
        <v>5905</v>
      </c>
      <c r="AA565" s="286">
        <v>5984</v>
      </c>
      <c r="AB565" s="296">
        <v>8072.5882038312766</v>
      </c>
    </row>
    <row r="566" spans="1:28" ht="15.75" customHeight="1">
      <c r="A566" s="123" t="s">
        <v>146</v>
      </c>
      <c r="B566" s="7" t="s">
        <v>139</v>
      </c>
      <c r="C566" s="270">
        <v>12731</v>
      </c>
      <c r="D566" s="271">
        <v>220</v>
      </c>
      <c r="E566" s="271">
        <v>1791</v>
      </c>
      <c r="F566" s="271">
        <v>3643</v>
      </c>
      <c r="G566" s="271">
        <v>13796</v>
      </c>
      <c r="H566" s="271">
        <v>21899</v>
      </c>
      <c r="I566" s="271">
        <v>68163</v>
      </c>
      <c r="J566" s="271">
        <v>22627</v>
      </c>
      <c r="K566" s="271">
        <v>16747</v>
      </c>
      <c r="L566" s="271">
        <v>17186</v>
      </c>
      <c r="M566" s="271">
        <v>4002</v>
      </c>
      <c r="N566" s="271">
        <v>6085</v>
      </c>
      <c r="O566" s="271">
        <v>43193</v>
      </c>
      <c r="P566" s="271">
        <v>24615</v>
      </c>
      <c r="Q566" s="271">
        <v>31386</v>
      </c>
      <c r="R566" s="271">
        <v>36304</v>
      </c>
      <c r="S566" s="271">
        <v>54324</v>
      </c>
      <c r="T566" s="271">
        <v>24827</v>
      </c>
      <c r="U566" s="271">
        <v>403539</v>
      </c>
      <c r="V566" s="272">
        <v>-3157</v>
      </c>
      <c r="W566" s="273">
        <v>400382</v>
      </c>
      <c r="X566" s="271">
        <v>14742</v>
      </c>
      <c r="Y566" s="271">
        <v>85602</v>
      </c>
      <c r="Z566" s="272">
        <v>303195</v>
      </c>
      <c r="AA566" s="284">
        <v>5092</v>
      </c>
      <c r="AB566" s="294">
        <v>385369.03774943115</v>
      </c>
    </row>
    <row r="567" spans="1:28" ht="15.75" customHeight="1">
      <c r="A567" s="124" t="s">
        <v>147</v>
      </c>
      <c r="B567" s="17" t="s">
        <v>140</v>
      </c>
      <c r="C567" s="274">
        <v>4374</v>
      </c>
      <c r="D567" s="275">
        <v>22</v>
      </c>
      <c r="E567" s="275">
        <v>1482</v>
      </c>
      <c r="F567" s="275">
        <v>2033</v>
      </c>
      <c r="G567" s="275">
        <v>99749</v>
      </c>
      <c r="H567" s="275">
        <v>89099</v>
      </c>
      <c r="I567" s="275">
        <v>157297</v>
      </c>
      <c r="J567" s="275">
        <v>179112</v>
      </c>
      <c r="K567" s="275">
        <v>59294</v>
      </c>
      <c r="L567" s="275">
        <v>33831</v>
      </c>
      <c r="M567" s="275">
        <v>59008</v>
      </c>
      <c r="N567" s="275">
        <v>42643</v>
      </c>
      <c r="O567" s="275">
        <v>240641</v>
      </c>
      <c r="P567" s="275">
        <v>164476</v>
      </c>
      <c r="Q567" s="275">
        <v>99400</v>
      </c>
      <c r="R567" s="275">
        <v>107615</v>
      </c>
      <c r="S567" s="275">
        <v>219966</v>
      </c>
      <c r="T567" s="275">
        <v>90447</v>
      </c>
      <c r="U567" s="275">
        <v>1650489</v>
      </c>
      <c r="V567" s="276">
        <v>-12919</v>
      </c>
      <c r="W567" s="277">
        <v>1637570</v>
      </c>
      <c r="X567" s="275">
        <v>5878</v>
      </c>
      <c r="Y567" s="275">
        <v>259079</v>
      </c>
      <c r="Z567" s="276">
        <v>1385532</v>
      </c>
      <c r="AA567" s="285">
        <v>5864</v>
      </c>
      <c r="AB567" s="295">
        <v>1588862.5462359181</v>
      </c>
    </row>
    <row r="568" spans="1:28" ht="15.75" customHeight="1">
      <c r="A568" s="124" t="s">
        <v>148</v>
      </c>
      <c r="B568" s="17" t="s">
        <v>141</v>
      </c>
      <c r="C568" s="274">
        <v>12781</v>
      </c>
      <c r="D568" s="275">
        <v>29</v>
      </c>
      <c r="E568" s="275">
        <v>1920</v>
      </c>
      <c r="F568" s="275">
        <v>1608</v>
      </c>
      <c r="G568" s="275">
        <v>46110</v>
      </c>
      <c r="H568" s="275">
        <v>21125</v>
      </c>
      <c r="I568" s="275">
        <v>69899</v>
      </c>
      <c r="J568" s="275">
        <v>52741</v>
      </c>
      <c r="K568" s="275">
        <v>27387</v>
      </c>
      <c r="L568" s="275">
        <v>12797</v>
      </c>
      <c r="M568" s="275">
        <v>11604</v>
      </c>
      <c r="N568" s="275">
        <v>9153</v>
      </c>
      <c r="O568" s="275">
        <v>85537</v>
      </c>
      <c r="P568" s="275">
        <v>40244</v>
      </c>
      <c r="Q568" s="275">
        <v>43742</v>
      </c>
      <c r="R568" s="275">
        <v>45836</v>
      </c>
      <c r="S568" s="275">
        <v>109737</v>
      </c>
      <c r="T568" s="275">
        <v>34485</v>
      </c>
      <c r="U568" s="275">
        <v>626735</v>
      </c>
      <c r="V568" s="276">
        <v>-4907</v>
      </c>
      <c r="W568" s="277">
        <v>621828</v>
      </c>
      <c r="X568" s="275">
        <v>14730</v>
      </c>
      <c r="Y568" s="275">
        <v>117617</v>
      </c>
      <c r="Z568" s="276">
        <v>494388</v>
      </c>
      <c r="AA568" s="285">
        <v>5031</v>
      </c>
      <c r="AB568" s="295">
        <v>602450.53228796436</v>
      </c>
    </row>
    <row r="569" spans="1:28" ht="15.75" customHeight="1">
      <c r="A569" s="124" t="s">
        <v>149</v>
      </c>
      <c r="B569" s="17" t="s">
        <v>142</v>
      </c>
      <c r="C569" s="274">
        <v>317</v>
      </c>
      <c r="D569" s="275">
        <v>53</v>
      </c>
      <c r="E569" s="275">
        <v>1781</v>
      </c>
      <c r="F569" s="275">
        <v>607</v>
      </c>
      <c r="G569" s="275">
        <v>13420</v>
      </c>
      <c r="H569" s="275">
        <v>33616</v>
      </c>
      <c r="I569" s="275">
        <v>97430</v>
      </c>
      <c r="J569" s="275">
        <v>118730</v>
      </c>
      <c r="K569" s="275">
        <v>78739</v>
      </c>
      <c r="L569" s="275">
        <v>30762</v>
      </c>
      <c r="M569" s="275">
        <v>94296</v>
      </c>
      <c r="N569" s="275">
        <v>92458</v>
      </c>
      <c r="O569" s="275">
        <v>147331</v>
      </c>
      <c r="P569" s="275">
        <v>190302</v>
      </c>
      <c r="Q569" s="275">
        <v>201247</v>
      </c>
      <c r="R569" s="275">
        <v>44004</v>
      </c>
      <c r="S569" s="275">
        <v>128575</v>
      </c>
      <c r="T569" s="275">
        <v>57265</v>
      </c>
      <c r="U569" s="275">
        <v>1330933</v>
      </c>
      <c r="V569" s="276">
        <v>-10414</v>
      </c>
      <c r="W569" s="277">
        <v>1320519</v>
      </c>
      <c r="X569" s="275">
        <v>2151</v>
      </c>
      <c r="Y569" s="275">
        <v>111457</v>
      </c>
      <c r="Z569" s="276">
        <v>1217325</v>
      </c>
      <c r="AA569" s="285">
        <v>6739</v>
      </c>
      <c r="AB569" s="295">
        <v>1282176.6906529935</v>
      </c>
    </row>
    <row r="570" spans="1:28" ht="15.75" customHeight="1">
      <c r="A570" s="124" t="s">
        <v>150</v>
      </c>
      <c r="B570" s="17" t="s">
        <v>143</v>
      </c>
      <c r="C570" s="274">
        <v>8281</v>
      </c>
      <c r="D570" s="275">
        <v>66</v>
      </c>
      <c r="E570" s="275">
        <v>514</v>
      </c>
      <c r="F570" s="275">
        <v>395</v>
      </c>
      <c r="G570" s="275">
        <v>8213</v>
      </c>
      <c r="H570" s="275">
        <v>7712</v>
      </c>
      <c r="I570" s="275">
        <v>29493</v>
      </c>
      <c r="J570" s="275">
        <v>18263</v>
      </c>
      <c r="K570" s="275">
        <v>7973</v>
      </c>
      <c r="L570" s="275">
        <v>5501</v>
      </c>
      <c r="M570" s="275">
        <v>2041</v>
      </c>
      <c r="N570" s="275">
        <v>2753</v>
      </c>
      <c r="O570" s="275">
        <v>17941</v>
      </c>
      <c r="P570" s="275">
        <v>13693</v>
      </c>
      <c r="Q570" s="275">
        <v>26502</v>
      </c>
      <c r="R570" s="275">
        <v>10722</v>
      </c>
      <c r="S570" s="275">
        <v>20910</v>
      </c>
      <c r="T570" s="275">
        <v>7931</v>
      </c>
      <c r="U570" s="275">
        <v>188904</v>
      </c>
      <c r="V570" s="276">
        <v>-1479</v>
      </c>
      <c r="W570" s="277">
        <v>187425</v>
      </c>
      <c r="X570" s="275">
        <v>8861</v>
      </c>
      <c r="Y570" s="275">
        <v>38101</v>
      </c>
      <c r="Z570" s="276">
        <v>141942</v>
      </c>
      <c r="AA570" s="285">
        <v>5797</v>
      </c>
      <c r="AB570" s="295">
        <v>180024.29323424859</v>
      </c>
    </row>
    <row r="571" spans="1:28" ht="15.75" customHeight="1">
      <c r="A571" s="125" t="s">
        <v>151</v>
      </c>
      <c r="B571" s="117" t="s">
        <v>144</v>
      </c>
      <c r="C571" s="278">
        <v>6560</v>
      </c>
      <c r="D571" s="279">
        <v>35</v>
      </c>
      <c r="E571" s="279">
        <v>733</v>
      </c>
      <c r="F571" s="279">
        <v>486</v>
      </c>
      <c r="G571" s="279">
        <v>5737</v>
      </c>
      <c r="H571" s="279">
        <v>7952</v>
      </c>
      <c r="I571" s="279">
        <v>48604</v>
      </c>
      <c r="J571" s="279">
        <v>12492</v>
      </c>
      <c r="K571" s="279">
        <v>12042</v>
      </c>
      <c r="L571" s="279">
        <v>7387</v>
      </c>
      <c r="M571" s="279">
        <v>1381</v>
      </c>
      <c r="N571" s="279">
        <v>2678</v>
      </c>
      <c r="O571" s="279">
        <v>19130</v>
      </c>
      <c r="P571" s="279">
        <v>15964</v>
      </c>
      <c r="Q571" s="279">
        <v>24051</v>
      </c>
      <c r="R571" s="279">
        <v>12363</v>
      </c>
      <c r="S571" s="279">
        <v>15649</v>
      </c>
      <c r="T571" s="279">
        <v>10802</v>
      </c>
      <c r="U571" s="279">
        <v>204046</v>
      </c>
      <c r="V571" s="280">
        <v>-1598</v>
      </c>
      <c r="W571" s="281">
        <v>202448</v>
      </c>
      <c r="X571" s="279">
        <v>7328</v>
      </c>
      <c r="Y571" s="279">
        <v>54827</v>
      </c>
      <c r="Z571" s="280">
        <v>141891</v>
      </c>
      <c r="AA571" s="286">
        <v>6918</v>
      </c>
      <c r="AB571" s="296">
        <v>193676.79414486207</v>
      </c>
    </row>
    <row r="572" spans="1:28" ht="15.75" customHeight="1">
      <c r="B572" s="25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</row>
    <row r="574" spans="1:28" ht="13.5" customHeight="1">
      <c r="A574" s="56">
        <f>A522+1</f>
        <v>4</v>
      </c>
      <c r="B574" s="51" t="str">
        <f>IF(A574&lt;22,"令和"&amp;A574&amp;"年度","平成"&amp;A574&amp;"年度")</f>
        <v>令和4年度</v>
      </c>
      <c r="C574" s="57" t="str">
        <f>C$2</f>
        <v>経済活動別市町村内総生産（百万円）</v>
      </c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1"/>
      <c r="Y574" s="2"/>
      <c r="Z574" s="58"/>
      <c r="AA574" s="58"/>
      <c r="AB574" s="58"/>
    </row>
    <row r="575" spans="1:28" ht="45" customHeight="1">
      <c r="A575" s="198"/>
      <c r="B575" s="88"/>
      <c r="C575" s="89" t="s">
        <v>51</v>
      </c>
      <c r="D575" s="89" t="s">
        <v>52</v>
      </c>
      <c r="E575" s="89" t="s">
        <v>53</v>
      </c>
      <c r="F575" s="89" t="s">
        <v>54</v>
      </c>
      <c r="G575" s="89" t="s">
        <v>55</v>
      </c>
      <c r="H575" s="89" t="s">
        <v>56</v>
      </c>
      <c r="I575" s="89" t="s">
        <v>57</v>
      </c>
      <c r="J575" s="89" t="s">
        <v>58</v>
      </c>
      <c r="K575" s="89" t="s">
        <v>59</v>
      </c>
      <c r="L575" s="89" t="s">
        <v>60</v>
      </c>
      <c r="M575" s="89" t="s">
        <v>61</v>
      </c>
      <c r="N575" s="89" t="s">
        <v>62</v>
      </c>
      <c r="O575" s="89" t="s">
        <v>63</v>
      </c>
      <c r="P575" s="89" t="s">
        <v>64</v>
      </c>
      <c r="Q575" s="89" t="s">
        <v>65</v>
      </c>
      <c r="R575" s="89" t="s">
        <v>66</v>
      </c>
      <c r="S575" s="89" t="s">
        <v>67</v>
      </c>
      <c r="T575" s="89" t="s">
        <v>68</v>
      </c>
      <c r="U575" s="89" t="s">
        <v>70</v>
      </c>
      <c r="V575" s="90" t="s">
        <v>69</v>
      </c>
      <c r="W575" s="91" t="s">
        <v>71</v>
      </c>
      <c r="X575" s="89" t="s">
        <v>72</v>
      </c>
      <c r="Y575" s="89" t="s">
        <v>73</v>
      </c>
      <c r="Z575" s="89" t="s">
        <v>74</v>
      </c>
      <c r="AA575" s="282" t="s">
        <v>277</v>
      </c>
      <c r="AB575" s="292" t="s">
        <v>278</v>
      </c>
    </row>
    <row r="576" spans="1:28" ht="13.5" customHeight="1">
      <c r="A576" s="165" t="s">
        <v>160</v>
      </c>
      <c r="B576" s="22" t="s">
        <v>0</v>
      </c>
      <c r="C576" s="266">
        <v>35748</v>
      </c>
      <c r="D576" s="267">
        <v>364</v>
      </c>
      <c r="E576" s="267">
        <v>8017</v>
      </c>
      <c r="F576" s="267">
        <v>10741</v>
      </c>
      <c r="G576" s="267">
        <v>180051</v>
      </c>
      <c r="H576" s="267">
        <v>88424</v>
      </c>
      <c r="I576" s="267">
        <v>398736</v>
      </c>
      <c r="J576" s="267">
        <v>421393</v>
      </c>
      <c r="K576" s="267">
        <v>285382</v>
      </c>
      <c r="L576" s="267">
        <v>168075</v>
      </c>
      <c r="M576" s="267">
        <v>168241</v>
      </c>
      <c r="N576" s="267">
        <v>175765</v>
      </c>
      <c r="O576" s="267">
        <v>561702</v>
      </c>
      <c r="P576" s="267">
        <v>483505</v>
      </c>
      <c r="Q576" s="267">
        <v>441237</v>
      </c>
      <c r="R576" s="267">
        <v>262517</v>
      </c>
      <c r="S576" s="267">
        <v>561255</v>
      </c>
      <c r="T576" s="267">
        <v>241123</v>
      </c>
      <c r="U576" s="267">
        <v>4492276</v>
      </c>
      <c r="V576" s="268">
        <v>-30746</v>
      </c>
      <c r="W576" s="269">
        <v>4461530</v>
      </c>
      <c r="X576" s="267">
        <v>44129</v>
      </c>
      <c r="Y576" s="267">
        <v>589528</v>
      </c>
      <c r="Z576" s="268">
        <v>3858619</v>
      </c>
      <c r="AA576" s="283">
        <v>6088</v>
      </c>
      <c r="AB576" s="293">
        <v>4347059</v>
      </c>
    </row>
    <row r="577" spans="1:28" ht="13.5" customHeight="1">
      <c r="A577" s="16" t="s">
        <v>1</v>
      </c>
      <c r="B577" s="17" t="s">
        <v>2</v>
      </c>
      <c r="C577" s="270">
        <v>271</v>
      </c>
      <c r="D577" s="271">
        <v>46</v>
      </c>
      <c r="E577" s="271">
        <v>1566</v>
      </c>
      <c r="F577" s="271">
        <v>743</v>
      </c>
      <c r="G577" s="271">
        <v>13001</v>
      </c>
      <c r="H577" s="271">
        <v>26951</v>
      </c>
      <c r="I577" s="271">
        <v>65741</v>
      </c>
      <c r="J577" s="271">
        <v>124290</v>
      </c>
      <c r="K577" s="271">
        <v>131070</v>
      </c>
      <c r="L577" s="271">
        <v>47718</v>
      </c>
      <c r="M577" s="271">
        <v>91952</v>
      </c>
      <c r="N577" s="271">
        <v>104251</v>
      </c>
      <c r="O577" s="271">
        <v>149410</v>
      </c>
      <c r="P577" s="271">
        <v>203928</v>
      </c>
      <c r="Q577" s="271">
        <v>204666</v>
      </c>
      <c r="R577" s="271">
        <v>45504</v>
      </c>
      <c r="S577" s="271">
        <v>131767</v>
      </c>
      <c r="T577" s="271">
        <v>60603</v>
      </c>
      <c r="U577" s="271">
        <v>1403478</v>
      </c>
      <c r="V577" s="272">
        <v>-9602</v>
      </c>
      <c r="W577" s="273">
        <v>1393876</v>
      </c>
      <c r="X577" s="271">
        <v>1883</v>
      </c>
      <c r="Y577" s="271">
        <v>79485</v>
      </c>
      <c r="Z577" s="272">
        <v>1322110</v>
      </c>
      <c r="AA577" s="284">
        <v>7162</v>
      </c>
      <c r="AB577" s="294">
        <v>1334195.0796537655</v>
      </c>
    </row>
    <row r="578" spans="1:28" ht="13.5" customHeight="1">
      <c r="A578" s="18" t="s">
        <v>3</v>
      </c>
      <c r="B578" s="19" t="s">
        <v>4</v>
      </c>
      <c r="C578" s="274">
        <v>46</v>
      </c>
      <c r="D578" s="275">
        <v>0</v>
      </c>
      <c r="E578" s="275">
        <v>127</v>
      </c>
      <c r="F578" s="275">
        <v>669</v>
      </c>
      <c r="G578" s="275">
        <v>3023</v>
      </c>
      <c r="H578" s="275">
        <v>7112</v>
      </c>
      <c r="I578" s="275">
        <v>39689</v>
      </c>
      <c r="J578" s="275">
        <v>24819</v>
      </c>
      <c r="K578" s="275">
        <v>5573</v>
      </c>
      <c r="L578" s="275">
        <v>5428</v>
      </c>
      <c r="M578" s="275">
        <v>12424</v>
      </c>
      <c r="N578" s="275">
        <v>5667</v>
      </c>
      <c r="O578" s="275">
        <v>38594</v>
      </c>
      <c r="P578" s="275">
        <v>26811</v>
      </c>
      <c r="Q578" s="275">
        <v>10577</v>
      </c>
      <c r="R578" s="275">
        <v>13081</v>
      </c>
      <c r="S578" s="275">
        <v>22456</v>
      </c>
      <c r="T578" s="275">
        <v>13578</v>
      </c>
      <c r="U578" s="275">
        <v>229674</v>
      </c>
      <c r="V578" s="276">
        <v>-1572</v>
      </c>
      <c r="W578" s="277">
        <v>228102</v>
      </c>
      <c r="X578" s="275">
        <v>173</v>
      </c>
      <c r="Y578" s="275">
        <v>43381</v>
      </c>
      <c r="Z578" s="276">
        <v>186120</v>
      </c>
      <c r="AA578" s="285">
        <v>6133</v>
      </c>
      <c r="AB578" s="295">
        <v>215692.15610617225</v>
      </c>
    </row>
    <row r="579" spans="1:28" ht="13.5" customHeight="1">
      <c r="A579" s="18" t="s">
        <v>5</v>
      </c>
      <c r="B579" s="19" t="s">
        <v>6</v>
      </c>
      <c r="C579" s="274">
        <v>3776</v>
      </c>
      <c r="D579" s="275">
        <v>22</v>
      </c>
      <c r="E579" s="275">
        <v>644</v>
      </c>
      <c r="F579" s="275">
        <v>409</v>
      </c>
      <c r="G579" s="275">
        <v>4527</v>
      </c>
      <c r="H579" s="275">
        <v>3098</v>
      </c>
      <c r="I579" s="275">
        <v>22800</v>
      </c>
      <c r="J579" s="275">
        <v>12428</v>
      </c>
      <c r="K579" s="275">
        <v>16198</v>
      </c>
      <c r="L579" s="275">
        <v>10785</v>
      </c>
      <c r="M579" s="275">
        <v>1326</v>
      </c>
      <c r="N579" s="275">
        <v>3022</v>
      </c>
      <c r="O579" s="275">
        <v>17871</v>
      </c>
      <c r="P579" s="275">
        <v>15996</v>
      </c>
      <c r="Q579" s="275">
        <v>20852</v>
      </c>
      <c r="R579" s="275">
        <v>9813</v>
      </c>
      <c r="S579" s="275">
        <v>14972</v>
      </c>
      <c r="T579" s="275">
        <v>9176</v>
      </c>
      <c r="U579" s="275">
        <v>167715</v>
      </c>
      <c r="V579" s="276">
        <v>-1148</v>
      </c>
      <c r="W579" s="277">
        <v>166567</v>
      </c>
      <c r="X579" s="275">
        <v>4442</v>
      </c>
      <c r="Y579" s="275">
        <v>27736</v>
      </c>
      <c r="Z579" s="276">
        <v>135537</v>
      </c>
      <c r="AA579" s="285">
        <v>6781</v>
      </c>
      <c r="AB579" s="295">
        <v>161291.24320539049</v>
      </c>
    </row>
    <row r="580" spans="1:28" ht="13.5" customHeight="1">
      <c r="A580" s="18" t="s">
        <v>7</v>
      </c>
      <c r="B580" s="19" t="s">
        <v>8</v>
      </c>
      <c r="C580" s="274">
        <v>13</v>
      </c>
      <c r="D580" s="275">
        <v>2</v>
      </c>
      <c r="E580" s="275">
        <v>146</v>
      </c>
      <c r="F580" s="275">
        <v>186</v>
      </c>
      <c r="G580" s="275">
        <v>20949</v>
      </c>
      <c r="H580" s="275">
        <v>5215</v>
      </c>
      <c r="I580" s="275">
        <v>29355</v>
      </c>
      <c r="J580" s="275">
        <v>80492</v>
      </c>
      <c r="K580" s="275">
        <v>27131</v>
      </c>
      <c r="L580" s="275">
        <v>6791</v>
      </c>
      <c r="M580" s="275">
        <v>26749</v>
      </c>
      <c r="N580" s="275">
        <v>14386</v>
      </c>
      <c r="O580" s="275">
        <v>48109</v>
      </c>
      <c r="P580" s="275">
        <v>57562</v>
      </c>
      <c r="Q580" s="275">
        <v>15167</v>
      </c>
      <c r="R580" s="275">
        <v>19823</v>
      </c>
      <c r="S580" s="275">
        <v>44768</v>
      </c>
      <c r="T580" s="275">
        <v>19564</v>
      </c>
      <c r="U580" s="275">
        <v>416408</v>
      </c>
      <c r="V580" s="276">
        <v>-2850</v>
      </c>
      <c r="W580" s="277">
        <v>413558</v>
      </c>
      <c r="X580" s="275">
        <v>161</v>
      </c>
      <c r="Y580" s="275">
        <v>50490</v>
      </c>
      <c r="Z580" s="276">
        <v>365757</v>
      </c>
      <c r="AA580" s="285">
        <v>6890</v>
      </c>
      <c r="AB580" s="295">
        <v>406955.3049776018</v>
      </c>
    </row>
    <row r="581" spans="1:28" ht="13.5" customHeight="1">
      <c r="A581" s="16" t="s">
        <v>9</v>
      </c>
      <c r="B581" s="17" t="s">
        <v>10</v>
      </c>
      <c r="C581" s="274">
        <v>2043</v>
      </c>
      <c r="D581" s="275">
        <v>67</v>
      </c>
      <c r="E581" s="275">
        <v>417</v>
      </c>
      <c r="F581" s="275">
        <v>2344</v>
      </c>
      <c r="G581" s="275">
        <v>5378</v>
      </c>
      <c r="H581" s="275">
        <v>7023</v>
      </c>
      <c r="I581" s="275">
        <v>43003</v>
      </c>
      <c r="J581" s="275">
        <v>16147</v>
      </c>
      <c r="K581" s="275">
        <v>8742</v>
      </c>
      <c r="L581" s="275">
        <v>11049</v>
      </c>
      <c r="M581" s="275">
        <v>2675</v>
      </c>
      <c r="N581" s="275">
        <v>5169</v>
      </c>
      <c r="O581" s="275">
        <v>22949</v>
      </c>
      <c r="P581" s="275">
        <v>18428</v>
      </c>
      <c r="Q581" s="275">
        <v>15524</v>
      </c>
      <c r="R581" s="275">
        <v>16586</v>
      </c>
      <c r="S581" s="275">
        <v>34785</v>
      </c>
      <c r="T581" s="275">
        <v>10098</v>
      </c>
      <c r="U581" s="275">
        <v>222427</v>
      </c>
      <c r="V581" s="276">
        <v>-1523</v>
      </c>
      <c r="W581" s="277">
        <v>220904</v>
      </c>
      <c r="X581" s="275">
        <v>2527</v>
      </c>
      <c r="Y581" s="275">
        <v>50725</v>
      </c>
      <c r="Z581" s="276">
        <v>169175</v>
      </c>
      <c r="AA581" s="285">
        <v>6337</v>
      </c>
      <c r="AB581" s="295">
        <v>209140.68151785422</v>
      </c>
    </row>
    <row r="582" spans="1:28" ht="13.5" customHeight="1">
      <c r="A582" s="18" t="s">
        <v>11</v>
      </c>
      <c r="B582" s="19" t="s">
        <v>12</v>
      </c>
      <c r="C582" s="274">
        <v>2864</v>
      </c>
      <c r="D582" s="275">
        <v>0</v>
      </c>
      <c r="E582" s="275">
        <v>581</v>
      </c>
      <c r="F582" s="275">
        <v>1301</v>
      </c>
      <c r="G582" s="275">
        <v>20870</v>
      </c>
      <c r="H582" s="275">
        <v>2868</v>
      </c>
      <c r="I582" s="275">
        <v>10259</v>
      </c>
      <c r="J582" s="275">
        <v>11564</v>
      </c>
      <c r="K582" s="275">
        <v>11945</v>
      </c>
      <c r="L582" s="275">
        <v>4461</v>
      </c>
      <c r="M582" s="275">
        <v>709</v>
      </c>
      <c r="N582" s="275">
        <v>2464</v>
      </c>
      <c r="O582" s="275">
        <v>19587</v>
      </c>
      <c r="P582" s="275">
        <v>5406</v>
      </c>
      <c r="Q582" s="275">
        <v>8921</v>
      </c>
      <c r="R582" s="275">
        <v>11002</v>
      </c>
      <c r="S582" s="275">
        <v>20178</v>
      </c>
      <c r="T582" s="275">
        <v>8315</v>
      </c>
      <c r="U582" s="275">
        <v>143295</v>
      </c>
      <c r="V582" s="276">
        <v>-981</v>
      </c>
      <c r="W582" s="277">
        <v>142314</v>
      </c>
      <c r="X582" s="275">
        <v>3445</v>
      </c>
      <c r="Y582" s="275">
        <v>32430</v>
      </c>
      <c r="Z582" s="276">
        <v>107420</v>
      </c>
      <c r="AA582" s="285">
        <v>4889</v>
      </c>
      <c r="AB582" s="295">
        <v>134915.88407668515</v>
      </c>
    </row>
    <row r="583" spans="1:28" ht="13.5" customHeight="1">
      <c r="A583" s="18" t="s">
        <v>13</v>
      </c>
      <c r="B583" s="19" t="s">
        <v>14</v>
      </c>
      <c r="C583" s="274">
        <v>777</v>
      </c>
      <c r="D583" s="275">
        <v>4</v>
      </c>
      <c r="E583" s="275">
        <v>118</v>
      </c>
      <c r="F583" s="275">
        <v>372</v>
      </c>
      <c r="G583" s="275">
        <v>14335</v>
      </c>
      <c r="H583" s="275">
        <v>9965</v>
      </c>
      <c r="I583" s="275">
        <v>26493</v>
      </c>
      <c r="J583" s="275">
        <v>24480</v>
      </c>
      <c r="K583" s="275">
        <v>11616</v>
      </c>
      <c r="L583" s="275">
        <v>10539</v>
      </c>
      <c r="M583" s="275">
        <v>2967</v>
      </c>
      <c r="N583" s="275">
        <v>12741</v>
      </c>
      <c r="O583" s="275">
        <v>52928</v>
      </c>
      <c r="P583" s="275">
        <v>40217</v>
      </c>
      <c r="Q583" s="275">
        <v>30817</v>
      </c>
      <c r="R583" s="275">
        <v>20797</v>
      </c>
      <c r="S583" s="275">
        <v>59030</v>
      </c>
      <c r="T583" s="275">
        <v>20536</v>
      </c>
      <c r="U583" s="275">
        <v>338732</v>
      </c>
      <c r="V583" s="276">
        <v>-2319</v>
      </c>
      <c r="W583" s="277">
        <v>336413</v>
      </c>
      <c r="X583" s="275">
        <v>899</v>
      </c>
      <c r="Y583" s="275">
        <v>41200</v>
      </c>
      <c r="Z583" s="276">
        <v>296633</v>
      </c>
      <c r="AA583" s="285">
        <v>6028</v>
      </c>
      <c r="AB583" s="295">
        <v>319421.47154797619</v>
      </c>
    </row>
    <row r="584" spans="1:28" ht="13.5" customHeight="1">
      <c r="A584" s="18" t="s">
        <v>15</v>
      </c>
      <c r="B584" s="19" t="s">
        <v>45</v>
      </c>
      <c r="C584" s="274">
        <v>779</v>
      </c>
      <c r="D584" s="275">
        <v>0</v>
      </c>
      <c r="E584" s="275">
        <v>216</v>
      </c>
      <c r="F584" s="275">
        <v>0</v>
      </c>
      <c r="G584" s="275">
        <v>6014</v>
      </c>
      <c r="H584" s="275">
        <v>3589</v>
      </c>
      <c r="I584" s="275">
        <v>13462</v>
      </c>
      <c r="J584" s="275">
        <v>16206</v>
      </c>
      <c r="K584" s="275">
        <v>10839</v>
      </c>
      <c r="L584" s="275">
        <v>5986</v>
      </c>
      <c r="M584" s="275">
        <v>7660</v>
      </c>
      <c r="N584" s="275">
        <v>2802</v>
      </c>
      <c r="O584" s="275">
        <v>22252</v>
      </c>
      <c r="P584" s="275">
        <v>20569</v>
      </c>
      <c r="Q584" s="275">
        <v>7798</v>
      </c>
      <c r="R584" s="275">
        <v>8575</v>
      </c>
      <c r="S584" s="275">
        <v>32426</v>
      </c>
      <c r="T584" s="275">
        <v>7873</v>
      </c>
      <c r="U584" s="275">
        <v>167046</v>
      </c>
      <c r="V584" s="276">
        <v>-1144</v>
      </c>
      <c r="W584" s="277">
        <v>165902</v>
      </c>
      <c r="X584" s="275">
        <v>995</v>
      </c>
      <c r="Y584" s="275">
        <v>19476</v>
      </c>
      <c r="Z584" s="276">
        <v>146575</v>
      </c>
      <c r="AA584" s="285">
        <v>5787</v>
      </c>
      <c r="AB584" s="295">
        <v>158641.78751460972</v>
      </c>
    </row>
    <row r="585" spans="1:28" ht="13.5" customHeight="1">
      <c r="A585" s="18" t="s">
        <v>16</v>
      </c>
      <c r="B585" s="19" t="s">
        <v>46</v>
      </c>
      <c r="C585" s="274">
        <v>1755</v>
      </c>
      <c r="D585" s="275">
        <v>2</v>
      </c>
      <c r="E585" s="275">
        <v>654</v>
      </c>
      <c r="F585" s="275">
        <v>632</v>
      </c>
      <c r="G585" s="275">
        <v>26742</v>
      </c>
      <c r="H585" s="275">
        <v>260</v>
      </c>
      <c r="I585" s="275">
        <v>24713</v>
      </c>
      <c r="J585" s="275">
        <v>23300</v>
      </c>
      <c r="K585" s="275">
        <v>13703</v>
      </c>
      <c r="L585" s="275">
        <v>6157</v>
      </c>
      <c r="M585" s="275">
        <v>5335</v>
      </c>
      <c r="N585" s="275">
        <v>6321</v>
      </c>
      <c r="O585" s="275">
        <v>41787</v>
      </c>
      <c r="P585" s="275">
        <v>27263</v>
      </c>
      <c r="Q585" s="275">
        <v>23762</v>
      </c>
      <c r="R585" s="275">
        <v>17428</v>
      </c>
      <c r="S585" s="275">
        <v>37653</v>
      </c>
      <c r="T585" s="275">
        <v>15632</v>
      </c>
      <c r="U585" s="275">
        <v>273099</v>
      </c>
      <c r="V585" s="276">
        <v>-1869</v>
      </c>
      <c r="W585" s="277">
        <v>271230</v>
      </c>
      <c r="X585" s="275">
        <v>2411</v>
      </c>
      <c r="Y585" s="275">
        <v>52087</v>
      </c>
      <c r="Z585" s="276">
        <v>218601</v>
      </c>
      <c r="AA585" s="285">
        <v>5616</v>
      </c>
      <c r="AB585" s="295">
        <v>290623.2463785414</v>
      </c>
    </row>
    <row r="586" spans="1:28" ht="13.5" customHeight="1">
      <c r="A586" s="18">
        <v>10</v>
      </c>
      <c r="B586" s="19" t="s">
        <v>47</v>
      </c>
      <c r="C586" s="274">
        <v>5242</v>
      </c>
      <c r="D586" s="275">
        <v>56</v>
      </c>
      <c r="E586" s="275">
        <v>511</v>
      </c>
      <c r="F586" s="275">
        <v>483</v>
      </c>
      <c r="G586" s="275">
        <v>7696</v>
      </c>
      <c r="H586" s="275">
        <v>3435</v>
      </c>
      <c r="I586" s="275">
        <v>17820</v>
      </c>
      <c r="J586" s="275">
        <v>18807</v>
      </c>
      <c r="K586" s="275">
        <v>11536</v>
      </c>
      <c r="L586" s="275">
        <v>9882</v>
      </c>
      <c r="M586" s="275">
        <v>1941</v>
      </c>
      <c r="N586" s="275">
        <v>3154</v>
      </c>
      <c r="O586" s="275">
        <v>18022</v>
      </c>
      <c r="P586" s="275">
        <v>14736</v>
      </c>
      <c r="Q586" s="275">
        <v>26318</v>
      </c>
      <c r="R586" s="275">
        <v>10555</v>
      </c>
      <c r="S586" s="275">
        <v>21147</v>
      </c>
      <c r="T586" s="275">
        <v>8432</v>
      </c>
      <c r="U586" s="275">
        <v>179773</v>
      </c>
      <c r="V586" s="276">
        <v>-1230</v>
      </c>
      <c r="W586" s="277">
        <v>178543</v>
      </c>
      <c r="X586" s="275">
        <v>5809</v>
      </c>
      <c r="Y586" s="275">
        <v>25999</v>
      </c>
      <c r="Z586" s="276">
        <v>147965</v>
      </c>
      <c r="AA586" s="285">
        <v>5692</v>
      </c>
      <c r="AB586" s="295">
        <v>172644.48279854437</v>
      </c>
    </row>
    <row r="587" spans="1:28" ht="13.5" customHeight="1">
      <c r="A587" s="20">
        <v>11</v>
      </c>
      <c r="B587" s="21" t="s">
        <v>48</v>
      </c>
      <c r="C587" s="278">
        <v>1914</v>
      </c>
      <c r="D587" s="279">
        <v>7</v>
      </c>
      <c r="E587" s="279">
        <v>394</v>
      </c>
      <c r="F587" s="279">
        <v>186</v>
      </c>
      <c r="G587" s="279">
        <v>8806</v>
      </c>
      <c r="H587" s="279">
        <v>3517</v>
      </c>
      <c r="I587" s="279">
        <v>12958</v>
      </c>
      <c r="J587" s="279">
        <v>4289</v>
      </c>
      <c r="K587" s="279">
        <v>4209</v>
      </c>
      <c r="L587" s="279">
        <v>1494</v>
      </c>
      <c r="M587" s="279">
        <v>1555</v>
      </c>
      <c r="N587" s="279">
        <v>445</v>
      </c>
      <c r="O587" s="279">
        <v>13209</v>
      </c>
      <c r="P587" s="279">
        <v>5385</v>
      </c>
      <c r="Q587" s="279">
        <v>9380</v>
      </c>
      <c r="R587" s="279">
        <v>4923</v>
      </c>
      <c r="S587" s="279">
        <v>10721</v>
      </c>
      <c r="T587" s="279">
        <v>5592</v>
      </c>
      <c r="U587" s="279">
        <v>88984</v>
      </c>
      <c r="V587" s="280">
        <v>-609</v>
      </c>
      <c r="W587" s="281">
        <v>88375</v>
      </c>
      <c r="X587" s="279">
        <v>2315</v>
      </c>
      <c r="Y587" s="279">
        <v>21950</v>
      </c>
      <c r="Z587" s="280">
        <v>64719</v>
      </c>
      <c r="AA587" s="286">
        <v>5059</v>
      </c>
      <c r="AB587" s="296">
        <v>83772.999473660209</v>
      </c>
    </row>
    <row r="588" spans="1:28" ht="13.5" customHeight="1">
      <c r="A588" s="18">
        <v>12</v>
      </c>
      <c r="B588" s="19" t="s">
        <v>17</v>
      </c>
      <c r="C588" s="270">
        <v>1509</v>
      </c>
      <c r="D588" s="271">
        <v>71</v>
      </c>
      <c r="E588" s="271">
        <v>33</v>
      </c>
      <c r="F588" s="271">
        <v>37</v>
      </c>
      <c r="G588" s="271">
        <v>110</v>
      </c>
      <c r="H588" s="271">
        <v>550</v>
      </c>
      <c r="I588" s="271">
        <v>2094</v>
      </c>
      <c r="J588" s="271">
        <v>472</v>
      </c>
      <c r="K588" s="271">
        <v>208</v>
      </c>
      <c r="L588" s="271">
        <v>1515</v>
      </c>
      <c r="M588" s="271">
        <v>0</v>
      </c>
      <c r="N588" s="271">
        <v>193</v>
      </c>
      <c r="O588" s="271">
        <v>1082</v>
      </c>
      <c r="P588" s="271">
        <v>93</v>
      </c>
      <c r="Q588" s="271">
        <v>1610</v>
      </c>
      <c r="R588" s="271">
        <v>928</v>
      </c>
      <c r="S588" s="271">
        <v>863</v>
      </c>
      <c r="T588" s="271">
        <v>715</v>
      </c>
      <c r="U588" s="271">
        <v>12083</v>
      </c>
      <c r="V588" s="272">
        <v>-83</v>
      </c>
      <c r="W588" s="273">
        <v>12000</v>
      </c>
      <c r="X588" s="271">
        <v>1613</v>
      </c>
      <c r="Y588" s="271">
        <v>2241</v>
      </c>
      <c r="Z588" s="272">
        <v>8229</v>
      </c>
      <c r="AA588" s="284">
        <v>4161</v>
      </c>
      <c r="AB588" s="294">
        <v>11331.634699311031</v>
      </c>
    </row>
    <row r="589" spans="1:28" ht="13.5" customHeight="1">
      <c r="A589" s="18">
        <v>13</v>
      </c>
      <c r="B589" s="19" t="s">
        <v>18</v>
      </c>
      <c r="C589" s="274">
        <v>998</v>
      </c>
      <c r="D589" s="275">
        <v>9</v>
      </c>
      <c r="E589" s="275">
        <v>305</v>
      </c>
      <c r="F589" s="275">
        <v>0</v>
      </c>
      <c r="G589" s="275">
        <v>160</v>
      </c>
      <c r="H589" s="275">
        <v>120</v>
      </c>
      <c r="I589" s="275">
        <v>1438</v>
      </c>
      <c r="J589" s="275">
        <v>186</v>
      </c>
      <c r="K589" s="275">
        <v>431</v>
      </c>
      <c r="L589" s="275">
        <v>88</v>
      </c>
      <c r="M589" s="275">
        <v>0</v>
      </c>
      <c r="N589" s="275">
        <v>3</v>
      </c>
      <c r="O589" s="275">
        <v>804</v>
      </c>
      <c r="P589" s="275">
        <v>192</v>
      </c>
      <c r="Q589" s="275">
        <v>970</v>
      </c>
      <c r="R589" s="275">
        <v>665</v>
      </c>
      <c r="S589" s="275">
        <v>804</v>
      </c>
      <c r="T589" s="275">
        <v>393</v>
      </c>
      <c r="U589" s="275">
        <v>7566</v>
      </c>
      <c r="V589" s="276">
        <v>-52</v>
      </c>
      <c r="W589" s="277">
        <v>7514</v>
      </c>
      <c r="X589" s="275">
        <v>1312</v>
      </c>
      <c r="Y589" s="275">
        <v>1598</v>
      </c>
      <c r="Z589" s="276">
        <v>4656</v>
      </c>
      <c r="AA589" s="285">
        <v>4104</v>
      </c>
      <c r="AB589" s="295">
        <v>7250.0963130493355</v>
      </c>
    </row>
    <row r="590" spans="1:28" ht="13.5" customHeight="1">
      <c r="A590" s="18">
        <v>14</v>
      </c>
      <c r="B590" s="19" t="s">
        <v>19</v>
      </c>
      <c r="C590" s="274">
        <v>627</v>
      </c>
      <c r="D590" s="275">
        <v>7</v>
      </c>
      <c r="E590" s="275">
        <v>16</v>
      </c>
      <c r="F590" s="275">
        <v>0</v>
      </c>
      <c r="G590" s="275">
        <v>191</v>
      </c>
      <c r="H590" s="275">
        <v>12</v>
      </c>
      <c r="I590" s="275">
        <v>992</v>
      </c>
      <c r="J590" s="275">
        <v>105</v>
      </c>
      <c r="K590" s="275">
        <v>44</v>
      </c>
      <c r="L590" s="275">
        <v>198</v>
      </c>
      <c r="M590" s="275">
        <v>0</v>
      </c>
      <c r="N590" s="275">
        <v>6</v>
      </c>
      <c r="O590" s="275">
        <v>337</v>
      </c>
      <c r="P590" s="275">
        <v>1121</v>
      </c>
      <c r="Q590" s="275">
        <v>996</v>
      </c>
      <c r="R590" s="275">
        <v>509</v>
      </c>
      <c r="S590" s="275">
        <v>412</v>
      </c>
      <c r="T590" s="275">
        <v>291</v>
      </c>
      <c r="U590" s="275">
        <v>5864</v>
      </c>
      <c r="V590" s="276">
        <v>-40</v>
      </c>
      <c r="W590" s="277">
        <v>5824</v>
      </c>
      <c r="X590" s="275">
        <v>650</v>
      </c>
      <c r="Y590" s="275">
        <v>1183</v>
      </c>
      <c r="Z590" s="276">
        <v>4031</v>
      </c>
      <c r="AA590" s="285">
        <v>4809</v>
      </c>
      <c r="AB590" s="295">
        <v>5531.5838720702923</v>
      </c>
    </row>
    <row r="591" spans="1:28" ht="13.5" customHeight="1">
      <c r="A591" s="18">
        <v>15</v>
      </c>
      <c r="B591" s="19" t="s">
        <v>20</v>
      </c>
      <c r="C591" s="274">
        <v>1196</v>
      </c>
      <c r="D591" s="275">
        <v>2</v>
      </c>
      <c r="E591" s="275">
        <v>74</v>
      </c>
      <c r="F591" s="275">
        <v>37</v>
      </c>
      <c r="G591" s="275">
        <v>1617</v>
      </c>
      <c r="H591" s="275">
        <v>666</v>
      </c>
      <c r="I591" s="275">
        <v>1981</v>
      </c>
      <c r="J591" s="275">
        <v>607</v>
      </c>
      <c r="K591" s="275">
        <v>630</v>
      </c>
      <c r="L591" s="275">
        <v>975</v>
      </c>
      <c r="M591" s="275">
        <v>6</v>
      </c>
      <c r="N591" s="275">
        <v>181</v>
      </c>
      <c r="O591" s="275">
        <v>2235</v>
      </c>
      <c r="P591" s="275">
        <v>1092</v>
      </c>
      <c r="Q591" s="275">
        <v>1557</v>
      </c>
      <c r="R591" s="275">
        <v>1384</v>
      </c>
      <c r="S591" s="275">
        <v>2235</v>
      </c>
      <c r="T591" s="275">
        <v>1580</v>
      </c>
      <c r="U591" s="275">
        <v>18055</v>
      </c>
      <c r="V591" s="276">
        <v>-123</v>
      </c>
      <c r="W591" s="277">
        <v>17932</v>
      </c>
      <c r="X591" s="275">
        <v>1272</v>
      </c>
      <c r="Y591" s="275">
        <v>3635</v>
      </c>
      <c r="Z591" s="276">
        <v>13148</v>
      </c>
      <c r="AA591" s="285">
        <v>3858</v>
      </c>
      <c r="AB591" s="295">
        <v>16822.649070305448</v>
      </c>
    </row>
    <row r="592" spans="1:28" ht="13.5" customHeight="1">
      <c r="A592" s="18">
        <v>16</v>
      </c>
      <c r="B592" s="19" t="s">
        <v>21</v>
      </c>
      <c r="C592" s="274">
        <v>853</v>
      </c>
      <c r="D592" s="275">
        <v>2</v>
      </c>
      <c r="E592" s="275">
        <v>360</v>
      </c>
      <c r="F592" s="275">
        <v>1635</v>
      </c>
      <c r="G592" s="275">
        <v>1373</v>
      </c>
      <c r="H592" s="275">
        <v>1463</v>
      </c>
      <c r="I592" s="275">
        <v>4155</v>
      </c>
      <c r="J592" s="275">
        <v>1741</v>
      </c>
      <c r="K592" s="275">
        <v>2272</v>
      </c>
      <c r="L592" s="275">
        <v>3887</v>
      </c>
      <c r="M592" s="275">
        <v>0</v>
      </c>
      <c r="N592" s="275">
        <v>663</v>
      </c>
      <c r="O592" s="275">
        <v>4131</v>
      </c>
      <c r="P592" s="275">
        <v>2789</v>
      </c>
      <c r="Q592" s="275">
        <v>2649</v>
      </c>
      <c r="R592" s="275">
        <v>2118</v>
      </c>
      <c r="S592" s="275">
        <v>4774</v>
      </c>
      <c r="T592" s="275">
        <v>5598</v>
      </c>
      <c r="U592" s="275">
        <v>40463</v>
      </c>
      <c r="V592" s="276">
        <v>-277</v>
      </c>
      <c r="W592" s="277">
        <v>40186</v>
      </c>
      <c r="X592" s="275">
        <v>1215</v>
      </c>
      <c r="Y592" s="275">
        <v>7163</v>
      </c>
      <c r="Z592" s="276">
        <v>32085</v>
      </c>
      <c r="AA592" s="285">
        <v>4596</v>
      </c>
      <c r="AB592" s="295">
        <v>36963.135390026648</v>
      </c>
    </row>
    <row r="593" spans="1:28" ht="13.5" customHeight="1">
      <c r="A593" s="18">
        <v>17</v>
      </c>
      <c r="B593" s="19" t="s">
        <v>22</v>
      </c>
      <c r="C593" s="274">
        <v>539</v>
      </c>
      <c r="D593" s="275">
        <v>17</v>
      </c>
      <c r="E593" s="275">
        <v>200</v>
      </c>
      <c r="F593" s="275">
        <v>186</v>
      </c>
      <c r="G593" s="275">
        <v>441</v>
      </c>
      <c r="H593" s="275">
        <v>596</v>
      </c>
      <c r="I593" s="275">
        <v>3578</v>
      </c>
      <c r="J593" s="275">
        <v>1545</v>
      </c>
      <c r="K593" s="275">
        <v>1213</v>
      </c>
      <c r="L593" s="275">
        <v>13868</v>
      </c>
      <c r="M593" s="275">
        <v>69</v>
      </c>
      <c r="N593" s="275">
        <v>235</v>
      </c>
      <c r="O593" s="275">
        <v>5344</v>
      </c>
      <c r="P593" s="275">
        <v>1062</v>
      </c>
      <c r="Q593" s="275">
        <v>3481</v>
      </c>
      <c r="R593" s="275">
        <v>10413</v>
      </c>
      <c r="S593" s="275">
        <v>1951</v>
      </c>
      <c r="T593" s="275">
        <v>4397</v>
      </c>
      <c r="U593" s="275">
        <v>49135</v>
      </c>
      <c r="V593" s="276">
        <v>-336</v>
      </c>
      <c r="W593" s="277">
        <v>48799</v>
      </c>
      <c r="X593" s="275">
        <v>756</v>
      </c>
      <c r="Y593" s="275">
        <v>4205</v>
      </c>
      <c r="Z593" s="276">
        <v>44174</v>
      </c>
      <c r="AA593" s="285">
        <v>4849</v>
      </c>
      <c r="AB593" s="295">
        <v>45799.142433574991</v>
      </c>
    </row>
    <row r="594" spans="1:28" ht="13.5" customHeight="1">
      <c r="A594" s="18">
        <v>18</v>
      </c>
      <c r="B594" s="19" t="s">
        <v>23</v>
      </c>
      <c r="C594" s="274">
        <v>562</v>
      </c>
      <c r="D594" s="275">
        <v>9</v>
      </c>
      <c r="E594" s="275">
        <v>118</v>
      </c>
      <c r="F594" s="275">
        <v>0</v>
      </c>
      <c r="G594" s="275">
        <v>201</v>
      </c>
      <c r="H594" s="275">
        <v>781</v>
      </c>
      <c r="I594" s="275">
        <v>4217</v>
      </c>
      <c r="J594" s="275">
        <v>462</v>
      </c>
      <c r="K594" s="275">
        <v>1765</v>
      </c>
      <c r="L594" s="275">
        <v>159</v>
      </c>
      <c r="M594" s="275">
        <v>683</v>
      </c>
      <c r="N594" s="275">
        <v>14</v>
      </c>
      <c r="O594" s="275">
        <v>1892</v>
      </c>
      <c r="P594" s="275">
        <v>957</v>
      </c>
      <c r="Q594" s="275">
        <v>1559</v>
      </c>
      <c r="R594" s="275">
        <v>1290</v>
      </c>
      <c r="S594" s="275">
        <v>2178</v>
      </c>
      <c r="T594" s="275">
        <v>1205</v>
      </c>
      <c r="U594" s="275">
        <v>18052</v>
      </c>
      <c r="V594" s="276">
        <v>-123</v>
      </c>
      <c r="W594" s="277">
        <v>17929</v>
      </c>
      <c r="X594" s="275">
        <v>689</v>
      </c>
      <c r="Y594" s="275">
        <v>4418</v>
      </c>
      <c r="Z594" s="276">
        <v>12945</v>
      </c>
      <c r="AA594" s="285">
        <v>5603</v>
      </c>
      <c r="AB594" s="295">
        <v>17005.507667706031</v>
      </c>
    </row>
    <row r="595" spans="1:28" ht="13.5" customHeight="1">
      <c r="A595" s="18">
        <v>19</v>
      </c>
      <c r="B595" s="19" t="s">
        <v>24</v>
      </c>
      <c r="C595" s="274">
        <v>530</v>
      </c>
      <c r="D595" s="275">
        <v>0</v>
      </c>
      <c r="E595" s="275">
        <v>48</v>
      </c>
      <c r="F595" s="275">
        <v>111</v>
      </c>
      <c r="G595" s="275">
        <v>616</v>
      </c>
      <c r="H595" s="275">
        <v>-5855</v>
      </c>
      <c r="I595" s="275">
        <v>4493</v>
      </c>
      <c r="J595" s="275">
        <v>1098</v>
      </c>
      <c r="K595" s="275">
        <v>2556</v>
      </c>
      <c r="L595" s="275">
        <v>692</v>
      </c>
      <c r="M595" s="275">
        <v>466</v>
      </c>
      <c r="N595" s="275">
        <v>375</v>
      </c>
      <c r="O595" s="275">
        <v>3887</v>
      </c>
      <c r="P595" s="275">
        <v>713</v>
      </c>
      <c r="Q595" s="275">
        <v>2243</v>
      </c>
      <c r="R595" s="275">
        <v>2139</v>
      </c>
      <c r="S595" s="275">
        <v>5550</v>
      </c>
      <c r="T595" s="275">
        <v>1558</v>
      </c>
      <c r="U595" s="275">
        <v>21220</v>
      </c>
      <c r="V595" s="276">
        <v>-145</v>
      </c>
      <c r="W595" s="277">
        <v>21075</v>
      </c>
      <c r="X595" s="275">
        <v>578</v>
      </c>
      <c r="Y595" s="275">
        <v>5220</v>
      </c>
      <c r="Z595" s="276">
        <v>15422</v>
      </c>
      <c r="AA595" s="285">
        <v>3544</v>
      </c>
      <c r="AB595" s="295">
        <v>41878.287029398998</v>
      </c>
    </row>
    <row r="596" spans="1:28" ht="13.5" customHeight="1">
      <c r="A596" s="20">
        <v>20</v>
      </c>
      <c r="B596" s="21" t="s">
        <v>25</v>
      </c>
      <c r="C596" s="278">
        <v>1345</v>
      </c>
      <c r="D596" s="279">
        <v>2</v>
      </c>
      <c r="E596" s="279">
        <v>83</v>
      </c>
      <c r="F596" s="279">
        <v>74</v>
      </c>
      <c r="G596" s="279">
        <v>646</v>
      </c>
      <c r="H596" s="279">
        <v>274</v>
      </c>
      <c r="I596" s="279">
        <v>2099</v>
      </c>
      <c r="J596" s="279">
        <v>677</v>
      </c>
      <c r="K596" s="279">
        <v>686</v>
      </c>
      <c r="L596" s="279">
        <v>530</v>
      </c>
      <c r="M596" s="279">
        <v>22</v>
      </c>
      <c r="N596" s="279">
        <v>20</v>
      </c>
      <c r="O596" s="279">
        <v>1134</v>
      </c>
      <c r="P596" s="279">
        <v>82</v>
      </c>
      <c r="Q596" s="279">
        <v>1539</v>
      </c>
      <c r="R596" s="279">
        <v>627</v>
      </c>
      <c r="S596" s="279">
        <v>1131</v>
      </c>
      <c r="T596" s="279">
        <v>890</v>
      </c>
      <c r="U596" s="279">
        <v>11861</v>
      </c>
      <c r="V596" s="280">
        <v>-81</v>
      </c>
      <c r="W596" s="281">
        <v>11780</v>
      </c>
      <c r="X596" s="279">
        <v>1430</v>
      </c>
      <c r="Y596" s="279">
        <v>2819</v>
      </c>
      <c r="Z596" s="280">
        <v>7612</v>
      </c>
      <c r="AA596" s="286">
        <v>4045</v>
      </c>
      <c r="AB596" s="296">
        <v>11073.767144597286</v>
      </c>
    </row>
    <row r="597" spans="1:28" ht="13.5" customHeight="1">
      <c r="A597" s="18">
        <v>21</v>
      </c>
      <c r="B597" s="19" t="s">
        <v>26</v>
      </c>
      <c r="C597" s="270">
        <v>759</v>
      </c>
      <c r="D597" s="271">
        <v>0</v>
      </c>
      <c r="E597" s="271">
        <v>88</v>
      </c>
      <c r="F597" s="271">
        <v>260</v>
      </c>
      <c r="G597" s="271">
        <v>2077</v>
      </c>
      <c r="H597" s="271">
        <v>2459</v>
      </c>
      <c r="I597" s="271">
        <v>11609</v>
      </c>
      <c r="J597" s="271">
        <v>3754</v>
      </c>
      <c r="K597" s="271">
        <v>964</v>
      </c>
      <c r="L597" s="271">
        <v>2468</v>
      </c>
      <c r="M597" s="271">
        <v>61</v>
      </c>
      <c r="N597" s="271">
        <v>1066</v>
      </c>
      <c r="O597" s="271">
        <v>15639</v>
      </c>
      <c r="P597" s="271">
        <v>2266</v>
      </c>
      <c r="Q597" s="271">
        <v>3432</v>
      </c>
      <c r="R597" s="271">
        <v>4259</v>
      </c>
      <c r="S597" s="271">
        <v>6242</v>
      </c>
      <c r="T597" s="271">
        <v>5579</v>
      </c>
      <c r="U597" s="271">
        <v>62982</v>
      </c>
      <c r="V597" s="272">
        <v>-432</v>
      </c>
      <c r="W597" s="273">
        <v>62550</v>
      </c>
      <c r="X597" s="271">
        <v>847</v>
      </c>
      <c r="Y597" s="271">
        <v>13946</v>
      </c>
      <c r="Z597" s="272">
        <v>48189</v>
      </c>
      <c r="AA597" s="284">
        <v>4719</v>
      </c>
      <c r="AB597" s="294">
        <v>59077.364294311781</v>
      </c>
    </row>
    <row r="598" spans="1:28" ht="13.5" customHeight="1">
      <c r="A598" s="18">
        <v>22</v>
      </c>
      <c r="B598" s="19" t="s">
        <v>27</v>
      </c>
      <c r="C598" s="274">
        <v>21</v>
      </c>
      <c r="D598" s="275">
        <v>0</v>
      </c>
      <c r="E598" s="275">
        <v>4</v>
      </c>
      <c r="F598" s="275">
        <v>0</v>
      </c>
      <c r="G598" s="275">
        <v>1108</v>
      </c>
      <c r="H598" s="275">
        <v>735</v>
      </c>
      <c r="I598" s="275">
        <v>4613</v>
      </c>
      <c r="J598" s="275">
        <v>1701</v>
      </c>
      <c r="K598" s="275">
        <v>322</v>
      </c>
      <c r="L598" s="275">
        <v>658</v>
      </c>
      <c r="M598" s="275">
        <v>520</v>
      </c>
      <c r="N598" s="275">
        <v>1526</v>
      </c>
      <c r="O598" s="275">
        <v>4270</v>
      </c>
      <c r="P598" s="275">
        <v>3198</v>
      </c>
      <c r="Q598" s="275">
        <v>12235</v>
      </c>
      <c r="R598" s="275">
        <v>2115</v>
      </c>
      <c r="S598" s="275">
        <v>4440</v>
      </c>
      <c r="T598" s="275">
        <v>2141</v>
      </c>
      <c r="U598" s="275">
        <v>39607</v>
      </c>
      <c r="V598" s="276">
        <v>-271</v>
      </c>
      <c r="W598" s="277">
        <v>39336</v>
      </c>
      <c r="X598" s="275">
        <v>25</v>
      </c>
      <c r="Y598" s="275">
        <v>5721</v>
      </c>
      <c r="Z598" s="276">
        <v>33861</v>
      </c>
      <c r="AA598" s="285">
        <v>5061</v>
      </c>
      <c r="AB598" s="295">
        <v>37336.180887703398</v>
      </c>
    </row>
    <row r="599" spans="1:28" ht="13.5" customHeight="1">
      <c r="A599" s="18">
        <v>23</v>
      </c>
      <c r="B599" s="19" t="s">
        <v>28</v>
      </c>
      <c r="C599" s="274">
        <v>0</v>
      </c>
      <c r="D599" s="275">
        <v>4</v>
      </c>
      <c r="E599" s="275">
        <v>40</v>
      </c>
      <c r="F599" s="275">
        <v>0</v>
      </c>
      <c r="G599" s="275">
        <v>556</v>
      </c>
      <c r="H599" s="275">
        <v>5754</v>
      </c>
      <c r="I599" s="275">
        <v>8559</v>
      </c>
      <c r="J599" s="275">
        <v>8423</v>
      </c>
      <c r="K599" s="275">
        <v>633</v>
      </c>
      <c r="L599" s="275">
        <v>7776</v>
      </c>
      <c r="M599" s="275">
        <v>8435</v>
      </c>
      <c r="N599" s="275">
        <v>3285</v>
      </c>
      <c r="O599" s="275">
        <v>16632</v>
      </c>
      <c r="P599" s="275">
        <v>8006</v>
      </c>
      <c r="Q599" s="275">
        <v>3317</v>
      </c>
      <c r="R599" s="275">
        <v>3553</v>
      </c>
      <c r="S599" s="275">
        <v>6445</v>
      </c>
      <c r="T599" s="275">
        <v>6615</v>
      </c>
      <c r="U599" s="275">
        <v>88033</v>
      </c>
      <c r="V599" s="276">
        <v>-602</v>
      </c>
      <c r="W599" s="277">
        <v>87431</v>
      </c>
      <c r="X599" s="275">
        <v>44</v>
      </c>
      <c r="Y599" s="275">
        <v>9115</v>
      </c>
      <c r="Z599" s="276">
        <v>78874</v>
      </c>
      <c r="AA599" s="285">
        <v>6025</v>
      </c>
      <c r="AB599" s="295">
        <v>83606.930601990854</v>
      </c>
    </row>
    <row r="600" spans="1:28" ht="13.5" customHeight="1">
      <c r="A600" s="18">
        <v>24</v>
      </c>
      <c r="B600" s="19" t="s">
        <v>29</v>
      </c>
      <c r="C600" s="274">
        <v>46</v>
      </c>
      <c r="D600" s="275">
        <v>2</v>
      </c>
      <c r="E600" s="275">
        <v>48</v>
      </c>
      <c r="F600" s="275">
        <v>37</v>
      </c>
      <c r="G600" s="275">
        <v>250</v>
      </c>
      <c r="H600" s="275">
        <v>761</v>
      </c>
      <c r="I600" s="275">
        <v>3694</v>
      </c>
      <c r="J600" s="275">
        <v>2515</v>
      </c>
      <c r="K600" s="275">
        <v>1210</v>
      </c>
      <c r="L600" s="275">
        <v>2710</v>
      </c>
      <c r="M600" s="275">
        <v>149</v>
      </c>
      <c r="N600" s="275">
        <v>558</v>
      </c>
      <c r="O600" s="275">
        <v>7646</v>
      </c>
      <c r="P600" s="275">
        <v>2052</v>
      </c>
      <c r="Q600" s="275">
        <v>1926</v>
      </c>
      <c r="R600" s="275">
        <v>4152</v>
      </c>
      <c r="S600" s="275">
        <v>13147</v>
      </c>
      <c r="T600" s="275">
        <v>3235</v>
      </c>
      <c r="U600" s="275">
        <v>44138</v>
      </c>
      <c r="V600" s="276">
        <v>-302</v>
      </c>
      <c r="W600" s="277">
        <v>43836</v>
      </c>
      <c r="X600" s="275">
        <v>96</v>
      </c>
      <c r="Y600" s="275">
        <v>3981</v>
      </c>
      <c r="Z600" s="276">
        <v>40061</v>
      </c>
      <c r="AA600" s="285">
        <v>5337</v>
      </c>
      <c r="AB600" s="295">
        <v>41802.664933083084</v>
      </c>
    </row>
    <row r="601" spans="1:28" ht="13.5" customHeight="1">
      <c r="A601" s="18">
        <v>25</v>
      </c>
      <c r="B601" s="19" t="s">
        <v>30</v>
      </c>
      <c r="C601" s="274">
        <v>110</v>
      </c>
      <c r="D601" s="275">
        <v>0</v>
      </c>
      <c r="E601" s="275">
        <v>11</v>
      </c>
      <c r="F601" s="275">
        <v>260</v>
      </c>
      <c r="G601" s="275">
        <v>7547</v>
      </c>
      <c r="H601" s="275">
        <v>-5922</v>
      </c>
      <c r="I601" s="275">
        <v>4037</v>
      </c>
      <c r="J601" s="275">
        <v>3375</v>
      </c>
      <c r="K601" s="275">
        <v>1920</v>
      </c>
      <c r="L601" s="275">
        <v>618</v>
      </c>
      <c r="M601" s="275">
        <v>721</v>
      </c>
      <c r="N601" s="275">
        <v>245</v>
      </c>
      <c r="O601" s="275">
        <v>7529</v>
      </c>
      <c r="P601" s="275">
        <v>2253</v>
      </c>
      <c r="Q601" s="275">
        <v>1774</v>
      </c>
      <c r="R601" s="275">
        <v>1887</v>
      </c>
      <c r="S601" s="275">
        <v>10714</v>
      </c>
      <c r="T601" s="275">
        <v>3914</v>
      </c>
      <c r="U601" s="275">
        <v>40993</v>
      </c>
      <c r="V601" s="276">
        <v>-280</v>
      </c>
      <c r="W601" s="277">
        <v>40713</v>
      </c>
      <c r="X601" s="275">
        <v>121</v>
      </c>
      <c r="Y601" s="275">
        <v>11844</v>
      </c>
      <c r="Z601" s="276">
        <v>29028</v>
      </c>
      <c r="AA601" s="285">
        <v>4419</v>
      </c>
      <c r="AB601" s="295">
        <v>65426.085119272924</v>
      </c>
    </row>
    <row r="602" spans="1:28" ht="13.5" customHeight="1">
      <c r="A602" s="20">
        <v>26</v>
      </c>
      <c r="B602" s="21" t="s">
        <v>31</v>
      </c>
      <c r="C602" s="278">
        <v>121</v>
      </c>
      <c r="D602" s="279">
        <v>2</v>
      </c>
      <c r="E602" s="279">
        <v>75</v>
      </c>
      <c r="F602" s="279">
        <v>74</v>
      </c>
      <c r="G602" s="279">
        <v>18856</v>
      </c>
      <c r="H602" s="279">
        <v>5685</v>
      </c>
      <c r="I602" s="279">
        <v>5362</v>
      </c>
      <c r="J602" s="279">
        <v>14091</v>
      </c>
      <c r="K602" s="279">
        <v>7983</v>
      </c>
      <c r="L602" s="279">
        <v>1329</v>
      </c>
      <c r="M602" s="279">
        <v>386</v>
      </c>
      <c r="N602" s="279">
        <v>2250</v>
      </c>
      <c r="O602" s="279">
        <v>10526</v>
      </c>
      <c r="P602" s="279">
        <v>7597</v>
      </c>
      <c r="Q602" s="279">
        <v>2731</v>
      </c>
      <c r="R602" s="279">
        <v>22092</v>
      </c>
      <c r="S602" s="279">
        <v>19773</v>
      </c>
      <c r="T602" s="279">
        <v>5689</v>
      </c>
      <c r="U602" s="279">
        <v>124622</v>
      </c>
      <c r="V602" s="280">
        <v>-853</v>
      </c>
      <c r="W602" s="281">
        <v>123769</v>
      </c>
      <c r="X602" s="279">
        <v>198</v>
      </c>
      <c r="Y602" s="279">
        <v>24292</v>
      </c>
      <c r="Z602" s="280">
        <v>100132</v>
      </c>
      <c r="AA602" s="286">
        <v>5588</v>
      </c>
      <c r="AB602" s="296">
        <v>118277.15193664821</v>
      </c>
    </row>
    <row r="603" spans="1:28" ht="13.5" customHeight="1">
      <c r="A603" s="18">
        <v>27</v>
      </c>
      <c r="B603" s="19" t="s">
        <v>32</v>
      </c>
      <c r="C603" s="270">
        <v>162</v>
      </c>
      <c r="D603" s="271">
        <v>0</v>
      </c>
      <c r="E603" s="271">
        <v>127</v>
      </c>
      <c r="F603" s="271">
        <v>37</v>
      </c>
      <c r="G603" s="271">
        <v>631</v>
      </c>
      <c r="H603" s="271">
        <v>894</v>
      </c>
      <c r="I603" s="271">
        <v>2446</v>
      </c>
      <c r="J603" s="271">
        <v>4791</v>
      </c>
      <c r="K603" s="271">
        <v>716</v>
      </c>
      <c r="L603" s="271">
        <v>1091</v>
      </c>
      <c r="M603" s="271">
        <v>114</v>
      </c>
      <c r="N603" s="271">
        <v>1360</v>
      </c>
      <c r="O603" s="271">
        <v>6383</v>
      </c>
      <c r="P603" s="271">
        <v>1732</v>
      </c>
      <c r="Q603" s="271">
        <v>3341</v>
      </c>
      <c r="R603" s="271">
        <v>5228</v>
      </c>
      <c r="S603" s="271">
        <v>6694</v>
      </c>
      <c r="T603" s="271">
        <v>2292</v>
      </c>
      <c r="U603" s="271">
        <v>38039</v>
      </c>
      <c r="V603" s="272">
        <v>-260</v>
      </c>
      <c r="W603" s="273">
        <v>37779</v>
      </c>
      <c r="X603" s="271">
        <v>289</v>
      </c>
      <c r="Y603" s="271">
        <v>3114</v>
      </c>
      <c r="Z603" s="272">
        <v>34636</v>
      </c>
      <c r="AA603" s="284">
        <v>5108</v>
      </c>
      <c r="AB603" s="294">
        <v>35758.875889709976</v>
      </c>
    </row>
    <row r="604" spans="1:28" ht="13.5" customHeight="1">
      <c r="A604" s="18">
        <v>28</v>
      </c>
      <c r="B604" s="19" t="s">
        <v>33</v>
      </c>
      <c r="C604" s="274">
        <v>583</v>
      </c>
      <c r="D604" s="275">
        <v>9</v>
      </c>
      <c r="E604" s="275">
        <v>0</v>
      </c>
      <c r="F604" s="275">
        <v>111</v>
      </c>
      <c r="G604" s="275">
        <v>4034</v>
      </c>
      <c r="H604" s="275">
        <v>3385</v>
      </c>
      <c r="I604" s="275">
        <v>6748</v>
      </c>
      <c r="J604" s="275">
        <v>12895</v>
      </c>
      <c r="K604" s="275">
        <v>3202</v>
      </c>
      <c r="L604" s="275">
        <v>2253</v>
      </c>
      <c r="M604" s="275">
        <v>395</v>
      </c>
      <c r="N604" s="275">
        <v>2030</v>
      </c>
      <c r="O604" s="275">
        <v>13861</v>
      </c>
      <c r="P604" s="275">
        <v>5351</v>
      </c>
      <c r="Q604" s="275">
        <v>3368</v>
      </c>
      <c r="R604" s="275">
        <v>6280</v>
      </c>
      <c r="S604" s="275">
        <v>26176</v>
      </c>
      <c r="T604" s="275">
        <v>6521</v>
      </c>
      <c r="U604" s="275">
        <v>97202</v>
      </c>
      <c r="V604" s="276">
        <v>-666</v>
      </c>
      <c r="W604" s="277">
        <v>96536</v>
      </c>
      <c r="X604" s="275">
        <v>592</v>
      </c>
      <c r="Y604" s="275">
        <v>10893</v>
      </c>
      <c r="Z604" s="276">
        <v>85717</v>
      </c>
      <c r="AA604" s="285">
        <v>4901</v>
      </c>
      <c r="AB604" s="295">
        <v>91865.62659181864</v>
      </c>
    </row>
    <row r="605" spans="1:28" ht="13.5" customHeight="1">
      <c r="A605" s="18">
        <v>29</v>
      </c>
      <c r="B605" s="19" t="s">
        <v>34</v>
      </c>
      <c r="C605" s="274">
        <v>1</v>
      </c>
      <c r="D605" s="275">
        <v>2</v>
      </c>
      <c r="E605" s="275">
        <v>15</v>
      </c>
      <c r="F605" s="275">
        <v>0</v>
      </c>
      <c r="G605" s="275">
        <v>15</v>
      </c>
      <c r="H605" s="275">
        <v>-26</v>
      </c>
      <c r="I605" s="275">
        <v>855</v>
      </c>
      <c r="J605" s="275">
        <v>28</v>
      </c>
      <c r="K605" s="275">
        <v>139</v>
      </c>
      <c r="L605" s="275">
        <v>351</v>
      </c>
      <c r="M605" s="275">
        <v>6</v>
      </c>
      <c r="N605" s="275">
        <v>6</v>
      </c>
      <c r="O605" s="275">
        <v>100</v>
      </c>
      <c r="P605" s="275">
        <v>131</v>
      </c>
      <c r="Q605" s="275">
        <v>480</v>
      </c>
      <c r="R605" s="275">
        <v>358</v>
      </c>
      <c r="S605" s="275">
        <v>192</v>
      </c>
      <c r="T605" s="275">
        <v>631</v>
      </c>
      <c r="U605" s="275">
        <v>3284</v>
      </c>
      <c r="V605" s="276">
        <v>-22</v>
      </c>
      <c r="W605" s="277">
        <v>3262</v>
      </c>
      <c r="X605" s="275">
        <v>18</v>
      </c>
      <c r="Y605" s="275">
        <v>870</v>
      </c>
      <c r="Z605" s="276">
        <v>2396</v>
      </c>
      <c r="AA605" s="285">
        <v>5673</v>
      </c>
      <c r="AB605" s="295">
        <v>3151.5380160364625</v>
      </c>
    </row>
    <row r="606" spans="1:28" ht="13.5" customHeight="1">
      <c r="A606" s="18">
        <v>30</v>
      </c>
      <c r="B606" s="19" t="s">
        <v>35</v>
      </c>
      <c r="C606" s="274">
        <v>2</v>
      </c>
      <c r="D606" s="275">
        <v>0</v>
      </c>
      <c r="E606" s="275">
        <v>27</v>
      </c>
      <c r="F606" s="275">
        <v>0</v>
      </c>
      <c r="G606" s="275">
        <v>29</v>
      </c>
      <c r="H606" s="275">
        <v>93</v>
      </c>
      <c r="I606" s="275">
        <v>361</v>
      </c>
      <c r="J606" s="275">
        <v>97</v>
      </c>
      <c r="K606" s="275">
        <v>311</v>
      </c>
      <c r="L606" s="275">
        <v>736</v>
      </c>
      <c r="M606" s="275">
        <v>0</v>
      </c>
      <c r="N606" s="275">
        <v>8</v>
      </c>
      <c r="O606" s="275">
        <v>175</v>
      </c>
      <c r="P606" s="275">
        <v>239</v>
      </c>
      <c r="Q606" s="275">
        <v>410</v>
      </c>
      <c r="R606" s="275">
        <v>573</v>
      </c>
      <c r="S606" s="275">
        <v>259</v>
      </c>
      <c r="T606" s="275">
        <v>969</v>
      </c>
      <c r="U606" s="275">
        <v>4289</v>
      </c>
      <c r="V606" s="276">
        <v>-30</v>
      </c>
      <c r="W606" s="277">
        <v>4259</v>
      </c>
      <c r="X606" s="275">
        <v>29</v>
      </c>
      <c r="Y606" s="275">
        <v>390</v>
      </c>
      <c r="Z606" s="276">
        <v>3870</v>
      </c>
      <c r="AA606" s="285">
        <v>5503</v>
      </c>
      <c r="AB606" s="295">
        <v>3880.791804334307</v>
      </c>
    </row>
    <row r="607" spans="1:28" ht="13.5" customHeight="1">
      <c r="A607" s="18">
        <v>31</v>
      </c>
      <c r="B607" s="19" t="s">
        <v>36</v>
      </c>
      <c r="C607" s="274">
        <v>44</v>
      </c>
      <c r="D607" s="275">
        <v>0</v>
      </c>
      <c r="E607" s="275">
        <v>8</v>
      </c>
      <c r="F607" s="275">
        <v>0</v>
      </c>
      <c r="G607" s="275">
        <v>184</v>
      </c>
      <c r="H607" s="275">
        <v>71</v>
      </c>
      <c r="I607" s="275">
        <v>421</v>
      </c>
      <c r="J607" s="275">
        <v>26</v>
      </c>
      <c r="K607" s="275">
        <v>161</v>
      </c>
      <c r="L607" s="275">
        <v>96</v>
      </c>
      <c r="M607" s="275">
        <v>0</v>
      </c>
      <c r="N607" s="275">
        <v>3</v>
      </c>
      <c r="O607" s="275">
        <v>206</v>
      </c>
      <c r="P607" s="275">
        <v>0</v>
      </c>
      <c r="Q607" s="275">
        <v>510</v>
      </c>
      <c r="R607" s="275">
        <v>268</v>
      </c>
      <c r="S607" s="275">
        <v>432</v>
      </c>
      <c r="T607" s="275">
        <v>88</v>
      </c>
      <c r="U607" s="275">
        <v>2518</v>
      </c>
      <c r="V607" s="276">
        <v>-17</v>
      </c>
      <c r="W607" s="277">
        <v>2501</v>
      </c>
      <c r="X607" s="275">
        <v>52</v>
      </c>
      <c r="Y607" s="275">
        <v>605</v>
      </c>
      <c r="Z607" s="276">
        <v>1861</v>
      </c>
      <c r="AA607" s="285">
        <v>5620</v>
      </c>
      <c r="AB607" s="295">
        <v>2432.3601475990322</v>
      </c>
    </row>
    <row r="608" spans="1:28" ht="13.5" customHeight="1">
      <c r="A608" s="18">
        <v>32</v>
      </c>
      <c r="B608" s="19" t="s">
        <v>37</v>
      </c>
      <c r="C608" s="274">
        <v>0</v>
      </c>
      <c r="D608" s="275">
        <v>0</v>
      </c>
      <c r="E608" s="275">
        <v>60</v>
      </c>
      <c r="F608" s="275">
        <v>0</v>
      </c>
      <c r="G608" s="275">
        <v>0</v>
      </c>
      <c r="H608" s="275">
        <v>-25</v>
      </c>
      <c r="I608" s="275">
        <v>346</v>
      </c>
      <c r="J608" s="275">
        <v>16</v>
      </c>
      <c r="K608" s="275">
        <v>32</v>
      </c>
      <c r="L608" s="275">
        <v>42</v>
      </c>
      <c r="M608" s="275">
        <v>0</v>
      </c>
      <c r="N608" s="275">
        <v>19</v>
      </c>
      <c r="O608" s="275">
        <v>53</v>
      </c>
      <c r="P608" s="275">
        <v>0</v>
      </c>
      <c r="Q608" s="275">
        <v>223</v>
      </c>
      <c r="R608" s="275">
        <v>199</v>
      </c>
      <c r="S608" s="275">
        <v>123</v>
      </c>
      <c r="T608" s="275">
        <v>15</v>
      </c>
      <c r="U608" s="275">
        <v>1103</v>
      </c>
      <c r="V608" s="276">
        <v>-8</v>
      </c>
      <c r="W608" s="277">
        <v>1095</v>
      </c>
      <c r="X608" s="275">
        <v>60</v>
      </c>
      <c r="Y608" s="275">
        <v>346</v>
      </c>
      <c r="Z608" s="276">
        <v>697</v>
      </c>
      <c r="AA608" s="285">
        <v>4311</v>
      </c>
      <c r="AB608" s="295">
        <v>1040.7931886058398</v>
      </c>
    </row>
    <row r="609" spans="1:28" ht="13.5" customHeight="1">
      <c r="A609" s="18">
        <v>33</v>
      </c>
      <c r="B609" s="19" t="s">
        <v>38</v>
      </c>
      <c r="C609" s="274">
        <v>867</v>
      </c>
      <c r="D609" s="275">
        <v>7</v>
      </c>
      <c r="E609" s="275">
        <v>30</v>
      </c>
      <c r="F609" s="275">
        <v>149</v>
      </c>
      <c r="G609" s="275">
        <v>1655</v>
      </c>
      <c r="H609" s="275">
        <v>78</v>
      </c>
      <c r="I609" s="275">
        <v>902</v>
      </c>
      <c r="J609" s="275">
        <v>230</v>
      </c>
      <c r="K609" s="275">
        <v>171</v>
      </c>
      <c r="L609" s="275">
        <v>158</v>
      </c>
      <c r="M609" s="275">
        <v>0</v>
      </c>
      <c r="N609" s="275">
        <v>3</v>
      </c>
      <c r="O609" s="275">
        <v>99</v>
      </c>
      <c r="P609" s="275">
        <v>118</v>
      </c>
      <c r="Q609" s="275">
        <v>780</v>
      </c>
      <c r="R609" s="275">
        <v>328</v>
      </c>
      <c r="S609" s="275">
        <v>219</v>
      </c>
      <c r="T609" s="275">
        <v>159</v>
      </c>
      <c r="U609" s="275">
        <v>5953</v>
      </c>
      <c r="V609" s="276">
        <v>-41</v>
      </c>
      <c r="W609" s="277">
        <v>5912</v>
      </c>
      <c r="X609" s="275">
        <v>904</v>
      </c>
      <c r="Y609" s="275">
        <v>2706</v>
      </c>
      <c r="Z609" s="276">
        <v>2343</v>
      </c>
      <c r="AA609" s="285">
        <v>5274</v>
      </c>
      <c r="AB609" s="295">
        <v>5684.477578673469</v>
      </c>
    </row>
    <row r="610" spans="1:28" ht="13.5" customHeight="1">
      <c r="A610" s="18">
        <v>34</v>
      </c>
      <c r="B610" s="19" t="s">
        <v>39</v>
      </c>
      <c r="C610" s="274">
        <v>248</v>
      </c>
      <c r="D610" s="275">
        <v>0</v>
      </c>
      <c r="E610" s="275">
        <v>13</v>
      </c>
      <c r="F610" s="275">
        <v>0</v>
      </c>
      <c r="G610" s="275">
        <v>92</v>
      </c>
      <c r="H610" s="275">
        <v>28</v>
      </c>
      <c r="I610" s="275">
        <v>1276</v>
      </c>
      <c r="J610" s="275">
        <v>58</v>
      </c>
      <c r="K610" s="275">
        <v>97</v>
      </c>
      <c r="L610" s="275">
        <v>281</v>
      </c>
      <c r="M610" s="275">
        <v>0</v>
      </c>
      <c r="N610" s="275">
        <v>2</v>
      </c>
      <c r="O610" s="275">
        <v>34</v>
      </c>
      <c r="P610" s="275">
        <v>79</v>
      </c>
      <c r="Q610" s="275">
        <v>441</v>
      </c>
      <c r="R610" s="275">
        <v>324</v>
      </c>
      <c r="S610" s="275">
        <v>176</v>
      </c>
      <c r="T610" s="275">
        <v>81</v>
      </c>
      <c r="U610" s="275">
        <v>3230</v>
      </c>
      <c r="V610" s="276">
        <v>-23</v>
      </c>
      <c r="W610" s="277">
        <v>3207</v>
      </c>
      <c r="X610" s="275">
        <v>261</v>
      </c>
      <c r="Y610" s="275">
        <v>1368</v>
      </c>
      <c r="Z610" s="276">
        <v>1601</v>
      </c>
      <c r="AA610" s="285">
        <v>5626</v>
      </c>
      <c r="AB610" s="295">
        <v>3081.2467101017701</v>
      </c>
    </row>
    <row r="611" spans="1:28" ht="13.5" customHeight="1">
      <c r="A611" s="18">
        <v>35</v>
      </c>
      <c r="B611" s="19" t="s">
        <v>40</v>
      </c>
      <c r="C611" s="274">
        <v>116</v>
      </c>
      <c r="D611" s="275">
        <v>4</v>
      </c>
      <c r="E611" s="275">
        <v>64</v>
      </c>
      <c r="F611" s="275">
        <v>37</v>
      </c>
      <c r="G611" s="275">
        <v>240</v>
      </c>
      <c r="H611" s="275">
        <v>140</v>
      </c>
      <c r="I611" s="275">
        <v>1684</v>
      </c>
      <c r="J611" s="275">
        <v>217</v>
      </c>
      <c r="K611" s="275">
        <v>239</v>
      </c>
      <c r="L611" s="275">
        <v>130</v>
      </c>
      <c r="M611" s="275">
        <v>0</v>
      </c>
      <c r="N611" s="275">
        <v>20</v>
      </c>
      <c r="O611" s="275">
        <v>138</v>
      </c>
      <c r="P611" s="275">
        <v>74</v>
      </c>
      <c r="Q611" s="275">
        <v>629</v>
      </c>
      <c r="R611" s="275">
        <v>489</v>
      </c>
      <c r="S611" s="275">
        <v>382</v>
      </c>
      <c r="T611" s="275">
        <v>131</v>
      </c>
      <c r="U611" s="275">
        <v>4734</v>
      </c>
      <c r="V611" s="276">
        <v>-33</v>
      </c>
      <c r="W611" s="277">
        <v>4701</v>
      </c>
      <c r="X611" s="275">
        <v>184</v>
      </c>
      <c r="Y611" s="275">
        <v>1961</v>
      </c>
      <c r="Z611" s="276">
        <v>2589</v>
      </c>
      <c r="AA611" s="285">
        <v>5422</v>
      </c>
      <c r="AB611" s="295">
        <v>4349.0261555550132</v>
      </c>
    </row>
    <row r="612" spans="1:28" ht="13.5" customHeight="1">
      <c r="A612" s="18">
        <v>36</v>
      </c>
      <c r="B612" s="19" t="s">
        <v>41</v>
      </c>
      <c r="C612" s="274">
        <v>325</v>
      </c>
      <c r="D612" s="275">
        <v>0</v>
      </c>
      <c r="E612" s="275">
        <v>90</v>
      </c>
      <c r="F612" s="275">
        <v>0</v>
      </c>
      <c r="G612" s="275">
        <v>113</v>
      </c>
      <c r="H612" s="275">
        <v>98</v>
      </c>
      <c r="I612" s="275">
        <v>733</v>
      </c>
      <c r="J612" s="275">
        <v>165</v>
      </c>
      <c r="K612" s="275">
        <v>424</v>
      </c>
      <c r="L612" s="275">
        <v>162</v>
      </c>
      <c r="M612" s="275">
        <v>0</v>
      </c>
      <c r="N612" s="275">
        <v>19</v>
      </c>
      <c r="O612" s="275">
        <v>237</v>
      </c>
      <c r="P612" s="275">
        <v>32</v>
      </c>
      <c r="Q612" s="275">
        <v>721</v>
      </c>
      <c r="R612" s="275">
        <v>399</v>
      </c>
      <c r="S612" s="275">
        <v>414</v>
      </c>
      <c r="T612" s="275">
        <v>133</v>
      </c>
      <c r="U612" s="275">
        <v>4065</v>
      </c>
      <c r="V612" s="276">
        <v>-28</v>
      </c>
      <c r="W612" s="277">
        <v>4037</v>
      </c>
      <c r="X612" s="275">
        <v>415</v>
      </c>
      <c r="Y612" s="275">
        <v>846</v>
      </c>
      <c r="Z612" s="276">
        <v>2804</v>
      </c>
      <c r="AA612" s="285">
        <v>4308</v>
      </c>
      <c r="AB612" s="295">
        <v>3732.4648055335342</v>
      </c>
    </row>
    <row r="613" spans="1:28" ht="13.5" customHeight="1">
      <c r="A613" s="18">
        <v>37</v>
      </c>
      <c r="B613" s="19" t="s">
        <v>49</v>
      </c>
      <c r="C613" s="274">
        <v>1011</v>
      </c>
      <c r="D613" s="275">
        <v>0</v>
      </c>
      <c r="E613" s="275">
        <v>454</v>
      </c>
      <c r="F613" s="275">
        <v>74</v>
      </c>
      <c r="G613" s="275">
        <v>1225</v>
      </c>
      <c r="H613" s="275">
        <v>535</v>
      </c>
      <c r="I613" s="275">
        <v>2125</v>
      </c>
      <c r="J613" s="275">
        <v>1264</v>
      </c>
      <c r="K613" s="275">
        <v>856</v>
      </c>
      <c r="L613" s="275">
        <v>944</v>
      </c>
      <c r="M613" s="275">
        <v>0</v>
      </c>
      <c r="N613" s="275">
        <v>235</v>
      </c>
      <c r="O613" s="275">
        <v>1856</v>
      </c>
      <c r="P613" s="275">
        <v>1136</v>
      </c>
      <c r="Q613" s="275">
        <v>3859</v>
      </c>
      <c r="R613" s="275">
        <v>1876</v>
      </c>
      <c r="S613" s="275">
        <v>2023</v>
      </c>
      <c r="T613" s="275">
        <v>1130</v>
      </c>
      <c r="U613" s="275">
        <v>20603</v>
      </c>
      <c r="V613" s="276">
        <v>-141</v>
      </c>
      <c r="W613" s="277">
        <v>20462</v>
      </c>
      <c r="X613" s="275">
        <v>1465</v>
      </c>
      <c r="Y613" s="275">
        <v>3424</v>
      </c>
      <c r="Z613" s="276">
        <v>15714</v>
      </c>
      <c r="AA613" s="285">
        <v>4526</v>
      </c>
      <c r="AB613" s="295">
        <v>19937.554964589555</v>
      </c>
    </row>
    <row r="614" spans="1:28" ht="13.5" customHeight="1">
      <c r="A614" s="20">
        <v>38</v>
      </c>
      <c r="B614" s="21" t="s">
        <v>50</v>
      </c>
      <c r="C614" s="278">
        <v>2206</v>
      </c>
      <c r="D614" s="279">
        <v>0</v>
      </c>
      <c r="E614" s="279">
        <v>117</v>
      </c>
      <c r="F614" s="279">
        <v>111</v>
      </c>
      <c r="G614" s="279">
        <v>1815</v>
      </c>
      <c r="H614" s="279">
        <v>1754</v>
      </c>
      <c r="I614" s="279">
        <v>6626</v>
      </c>
      <c r="J614" s="279">
        <v>3364</v>
      </c>
      <c r="K614" s="279">
        <v>2090</v>
      </c>
      <c r="L614" s="279">
        <v>720</v>
      </c>
      <c r="M614" s="279">
        <v>915</v>
      </c>
      <c r="N614" s="279">
        <v>977</v>
      </c>
      <c r="O614" s="279">
        <v>9209</v>
      </c>
      <c r="P614" s="279">
        <v>3483</v>
      </c>
      <c r="Q614" s="279">
        <v>6413</v>
      </c>
      <c r="R614" s="279">
        <v>6666</v>
      </c>
      <c r="S614" s="279">
        <v>12474</v>
      </c>
      <c r="T614" s="279">
        <v>3035</v>
      </c>
      <c r="U614" s="279">
        <v>61975</v>
      </c>
      <c r="V614" s="280">
        <v>-424</v>
      </c>
      <c r="W614" s="281">
        <v>61551</v>
      </c>
      <c r="X614" s="279">
        <v>2323</v>
      </c>
      <c r="Y614" s="279">
        <v>8552</v>
      </c>
      <c r="Z614" s="280">
        <v>51100</v>
      </c>
      <c r="AA614" s="286">
        <v>5158</v>
      </c>
      <c r="AB614" s="296">
        <v>59007.227839378385</v>
      </c>
    </row>
    <row r="615" spans="1:28" ht="13.5" customHeight="1">
      <c r="A615" s="20">
        <v>39</v>
      </c>
      <c r="B615" s="21" t="s">
        <v>42</v>
      </c>
      <c r="C615" s="266">
        <v>498</v>
      </c>
      <c r="D615" s="267">
        <v>0</v>
      </c>
      <c r="E615" s="267">
        <v>1</v>
      </c>
      <c r="F615" s="267">
        <v>0</v>
      </c>
      <c r="G615" s="267">
        <v>926</v>
      </c>
      <c r="H615" s="267">
        <v>71</v>
      </c>
      <c r="I615" s="267">
        <v>851</v>
      </c>
      <c r="J615" s="267">
        <v>118</v>
      </c>
      <c r="K615" s="267">
        <v>174</v>
      </c>
      <c r="L615" s="267">
        <v>117</v>
      </c>
      <c r="M615" s="267">
        <v>0</v>
      </c>
      <c r="N615" s="267">
        <v>3</v>
      </c>
      <c r="O615" s="267">
        <v>197</v>
      </c>
      <c r="P615" s="267">
        <v>95</v>
      </c>
      <c r="Q615" s="267">
        <v>564</v>
      </c>
      <c r="R615" s="267">
        <v>391</v>
      </c>
      <c r="S615" s="267">
        <v>165</v>
      </c>
      <c r="T615" s="267">
        <v>110</v>
      </c>
      <c r="U615" s="267">
        <v>4281</v>
      </c>
      <c r="V615" s="268">
        <v>-30</v>
      </c>
      <c r="W615" s="269">
        <v>4251</v>
      </c>
      <c r="X615" s="267">
        <v>499</v>
      </c>
      <c r="Y615" s="267">
        <v>1777</v>
      </c>
      <c r="Z615" s="268">
        <v>2005</v>
      </c>
      <c r="AA615" s="283">
        <v>5408</v>
      </c>
      <c r="AB615" s="293">
        <v>4236.6227035555621</v>
      </c>
    </row>
    <row r="616" spans="1:28" ht="13.5" customHeight="1">
      <c r="A616" s="18">
        <v>40</v>
      </c>
      <c r="B616" s="19" t="s">
        <v>43</v>
      </c>
      <c r="C616" s="270">
        <v>877</v>
      </c>
      <c r="D616" s="271">
        <v>9</v>
      </c>
      <c r="E616" s="271">
        <v>99</v>
      </c>
      <c r="F616" s="271">
        <v>0</v>
      </c>
      <c r="G616" s="271">
        <v>1363</v>
      </c>
      <c r="H616" s="271">
        <v>223</v>
      </c>
      <c r="I616" s="271">
        <v>1585</v>
      </c>
      <c r="J616" s="271">
        <v>370</v>
      </c>
      <c r="K616" s="271">
        <v>1050</v>
      </c>
      <c r="L616" s="271">
        <v>2845</v>
      </c>
      <c r="M616" s="271">
        <v>0</v>
      </c>
      <c r="N616" s="271">
        <v>18</v>
      </c>
      <c r="O616" s="271">
        <v>1023</v>
      </c>
      <c r="P616" s="271">
        <v>938</v>
      </c>
      <c r="Q616" s="271">
        <v>707</v>
      </c>
      <c r="R616" s="271">
        <v>2189</v>
      </c>
      <c r="S616" s="271">
        <v>494</v>
      </c>
      <c r="T616" s="271">
        <v>2372</v>
      </c>
      <c r="U616" s="271">
        <v>16162</v>
      </c>
      <c r="V616" s="272">
        <v>-111</v>
      </c>
      <c r="W616" s="273">
        <v>16051</v>
      </c>
      <c r="X616" s="271">
        <v>985</v>
      </c>
      <c r="Y616" s="271">
        <v>2948</v>
      </c>
      <c r="Z616" s="272">
        <v>12229</v>
      </c>
      <c r="AA616" s="284">
        <v>5213</v>
      </c>
      <c r="AB616" s="294">
        <v>14959.904524494254</v>
      </c>
    </row>
    <row r="617" spans="1:28" ht="13.5" customHeight="1">
      <c r="A617" s="20">
        <v>41</v>
      </c>
      <c r="B617" s="21" t="s">
        <v>44</v>
      </c>
      <c r="C617" s="278">
        <v>112</v>
      </c>
      <c r="D617" s="279">
        <v>0</v>
      </c>
      <c r="E617" s="279">
        <v>35</v>
      </c>
      <c r="F617" s="279">
        <v>186</v>
      </c>
      <c r="G617" s="279">
        <v>639</v>
      </c>
      <c r="H617" s="279">
        <v>-7</v>
      </c>
      <c r="I617" s="279">
        <v>2563</v>
      </c>
      <c r="J617" s="279">
        <v>180</v>
      </c>
      <c r="K617" s="279">
        <v>321</v>
      </c>
      <c r="L617" s="279">
        <v>388</v>
      </c>
      <c r="M617" s="279">
        <v>0</v>
      </c>
      <c r="N617" s="279">
        <v>20</v>
      </c>
      <c r="O617" s="279">
        <v>325</v>
      </c>
      <c r="P617" s="279">
        <v>323</v>
      </c>
      <c r="Q617" s="279">
        <v>2990</v>
      </c>
      <c r="R617" s="279">
        <v>731</v>
      </c>
      <c r="S617" s="279">
        <v>470</v>
      </c>
      <c r="T617" s="279">
        <v>257</v>
      </c>
      <c r="U617" s="279">
        <v>9533</v>
      </c>
      <c r="V617" s="280">
        <v>-65</v>
      </c>
      <c r="W617" s="281">
        <v>9468</v>
      </c>
      <c r="X617" s="279">
        <v>147</v>
      </c>
      <c r="Y617" s="279">
        <v>3388</v>
      </c>
      <c r="Z617" s="280">
        <v>5998</v>
      </c>
      <c r="AA617" s="286">
        <v>6696</v>
      </c>
      <c r="AB617" s="296">
        <v>9027.8812042741483</v>
      </c>
    </row>
    <row r="618" spans="1:28" ht="15.75" customHeight="1">
      <c r="A618" s="123" t="s">
        <v>146</v>
      </c>
      <c r="B618" s="7" t="s">
        <v>139</v>
      </c>
      <c r="C618" s="270">
        <v>10643</v>
      </c>
      <c r="D618" s="271">
        <v>190</v>
      </c>
      <c r="E618" s="271">
        <v>1808</v>
      </c>
      <c r="F618" s="271">
        <v>4461</v>
      </c>
      <c r="G618" s="271">
        <v>11086</v>
      </c>
      <c r="H618" s="271">
        <v>5868</v>
      </c>
      <c r="I618" s="271">
        <v>70467</v>
      </c>
      <c r="J618" s="271">
        <v>23422</v>
      </c>
      <c r="K618" s="271">
        <v>19210</v>
      </c>
      <c r="L618" s="271">
        <v>33253</v>
      </c>
      <c r="M618" s="271">
        <v>3921</v>
      </c>
      <c r="N618" s="271">
        <v>6898</v>
      </c>
      <c r="O618" s="271">
        <v>44170</v>
      </c>
      <c r="P618" s="271">
        <v>26635</v>
      </c>
      <c r="Q618" s="271">
        <v>33478</v>
      </c>
      <c r="R618" s="271">
        <v>37547</v>
      </c>
      <c r="S618" s="271">
        <v>55479</v>
      </c>
      <c r="T618" s="271">
        <v>26989</v>
      </c>
      <c r="U618" s="271">
        <v>415525</v>
      </c>
      <c r="V618" s="272">
        <v>-2844</v>
      </c>
      <c r="W618" s="273">
        <v>412681</v>
      </c>
      <c r="X618" s="271">
        <v>12641</v>
      </c>
      <c r="Y618" s="271">
        <v>86014</v>
      </c>
      <c r="Z618" s="272">
        <v>316870</v>
      </c>
      <c r="AA618" s="284">
        <v>5284</v>
      </c>
      <c r="AB618" s="294">
        <v>410536.80999829486</v>
      </c>
    </row>
    <row r="619" spans="1:28" ht="15.75" customHeight="1">
      <c r="A619" s="124" t="s">
        <v>147</v>
      </c>
      <c r="B619" s="17" t="s">
        <v>140</v>
      </c>
      <c r="C619" s="274">
        <v>3648</v>
      </c>
      <c r="D619" s="275">
        <v>16</v>
      </c>
      <c r="E619" s="275">
        <v>1311</v>
      </c>
      <c r="F619" s="275">
        <v>2490</v>
      </c>
      <c r="G619" s="275">
        <v>95443</v>
      </c>
      <c r="H619" s="275">
        <v>32024</v>
      </c>
      <c r="I619" s="275">
        <v>158124</v>
      </c>
      <c r="J619" s="275">
        <v>186950</v>
      </c>
      <c r="K619" s="275">
        <v>71055</v>
      </c>
      <c r="L619" s="275">
        <v>44474</v>
      </c>
      <c r="M619" s="275">
        <v>57747</v>
      </c>
      <c r="N619" s="275">
        <v>48045</v>
      </c>
      <c r="O619" s="275">
        <v>243660</v>
      </c>
      <c r="P619" s="275">
        <v>177225</v>
      </c>
      <c r="Q619" s="275">
        <v>105738</v>
      </c>
      <c r="R619" s="275">
        <v>109187</v>
      </c>
      <c r="S619" s="275">
        <v>224668</v>
      </c>
      <c r="T619" s="275">
        <v>96483</v>
      </c>
      <c r="U619" s="275">
        <v>1658288</v>
      </c>
      <c r="V619" s="276">
        <v>-11350</v>
      </c>
      <c r="W619" s="277">
        <v>1646938</v>
      </c>
      <c r="X619" s="275">
        <v>4975</v>
      </c>
      <c r="Y619" s="275">
        <v>256057</v>
      </c>
      <c r="Z619" s="276">
        <v>1397256</v>
      </c>
      <c r="AA619" s="285">
        <v>5958</v>
      </c>
      <c r="AB619" s="295">
        <v>1638212.7508134563</v>
      </c>
    </row>
    <row r="620" spans="1:28" ht="15.75" customHeight="1">
      <c r="A620" s="124" t="s">
        <v>148</v>
      </c>
      <c r="B620" s="17" t="s">
        <v>141</v>
      </c>
      <c r="C620" s="274">
        <v>10681</v>
      </c>
      <c r="D620" s="275">
        <v>25</v>
      </c>
      <c r="E620" s="275">
        <v>2042</v>
      </c>
      <c r="F620" s="275">
        <v>1969</v>
      </c>
      <c r="G620" s="275">
        <v>45370</v>
      </c>
      <c r="H620" s="275">
        <v>16761</v>
      </c>
      <c r="I620" s="275">
        <v>58785</v>
      </c>
      <c r="J620" s="275">
        <v>54828</v>
      </c>
      <c r="K620" s="275">
        <v>34768</v>
      </c>
      <c r="L620" s="275">
        <v>18613</v>
      </c>
      <c r="M620" s="275">
        <v>11354</v>
      </c>
      <c r="N620" s="275">
        <v>10354</v>
      </c>
      <c r="O620" s="275">
        <v>87024</v>
      </c>
      <c r="P620" s="275">
        <v>43629</v>
      </c>
      <c r="Q620" s="275">
        <v>45924</v>
      </c>
      <c r="R620" s="275">
        <v>46600</v>
      </c>
      <c r="S620" s="275">
        <v>112093</v>
      </c>
      <c r="T620" s="275">
        <v>36701</v>
      </c>
      <c r="U620" s="275">
        <v>637521</v>
      </c>
      <c r="V620" s="276">
        <v>-4366</v>
      </c>
      <c r="W620" s="277">
        <v>633155</v>
      </c>
      <c r="X620" s="275">
        <v>12748</v>
      </c>
      <c r="Y620" s="275">
        <v>106124</v>
      </c>
      <c r="Z620" s="276">
        <v>518649</v>
      </c>
      <c r="AA620" s="285">
        <v>5167</v>
      </c>
      <c r="AB620" s="295">
        <v>603095.73239344463</v>
      </c>
    </row>
    <row r="621" spans="1:28" ht="15.75" customHeight="1">
      <c r="A621" s="124" t="s">
        <v>149</v>
      </c>
      <c r="B621" s="17" t="s">
        <v>142</v>
      </c>
      <c r="C621" s="274">
        <v>271</v>
      </c>
      <c r="D621" s="275">
        <v>46</v>
      </c>
      <c r="E621" s="275">
        <v>1566</v>
      </c>
      <c r="F621" s="275">
        <v>743</v>
      </c>
      <c r="G621" s="275">
        <v>13001</v>
      </c>
      <c r="H621" s="275">
        <v>26951</v>
      </c>
      <c r="I621" s="275">
        <v>65741</v>
      </c>
      <c r="J621" s="275">
        <v>124290</v>
      </c>
      <c r="K621" s="275">
        <v>131070</v>
      </c>
      <c r="L621" s="275">
        <v>47718</v>
      </c>
      <c r="M621" s="275">
        <v>91952</v>
      </c>
      <c r="N621" s="275">
        <v>104251</v>
      </c>
      <c r="O621" s="275">
        <v>149410</v>
      </c>
      <c r="P621" s="275">
        <v>203928</v>
      </c>
      <c r="Q621" s="275">
        <v>204666</v>
      </c>
      <c r="R621" s="275">
        <v>45504</v>
      </c>
      <c r="S621" s="275">
        <v>131767</v>
      </c>
      <c r="T621" s="275">
        <v>60603</v>
      </c>
      <c r="U621" s="275">
        <v>1403478</v>
      </c>
      <c r="V621" s="276">
        <v>-9602</v>
      </c>
      <c r="W621" s="277">
        <v>1393876</v>
      </c>
      <c r="X621" s="275">
        <v>1883</v>
      </c>
      <c r="Y621" s="275">
        <v>79485</v>
      </c>
      <c r="Z621" s="276">
        <v>1322110</v>
      </c>
      <c r="AA621" s="285">
        <v>7162</v>
      </c>
      <c r="AB621" s="295">
        <v>1334195.0796537655</v>
      </c>
    </row>
    <row r="622" spans="1:28" ht="15.75" customHeight="1">
      <c r="A622" s="124" t="s">
        <v>150</v>
      </c>
      <c r="B622" s="17" t="s">
        <v>143</v>
      </c>
      <c r="C622" s="274">
        <v>5740</v>
      </c>
      <c r="D622" s="275">
        <v>56</v>
      </c>
      <c r="E622" s="275">
        <v>512</v>
      </c>
      <c r="F622" s="275">
        <v>483</v>
      </c>
      <c r="G622" s="275">
        <v>8622</v>
      </c>
      <c r="H622" s="275">
        <v>3506</v>
      </c>
      <c r="I622" s="275">
        <v>18671</v>
      </c>
      <c r="J622" s="275">
        <v>18925</v>
      </c>
      <c r="K622" s="275">
        <v>11710</v>
      </c>
      <c r="L622" s="275">
        <v>9999</v>
      </c>
      <c r="M622" s="275">
        <v>1941</v>
      </c>
      <c r="N622" s="275">
        <v>3157</v>
      </c>
      <c r="O622" s="275">
        <v>18219</v>
      </c>
      <c r="P622" s="275">
        <v>14831</v>
      </c>
      <c r="Q622" s="275">
        <v>26882</v>
      </c>
      <c r="R622" s="275">
        <v>10946</v>
      </c>
      <c r="S622" s="275">
        <v>21312</v>
      </c>
      <c r="T622" s="275">
        <v>8542</v>
      </c>
      <c r="U622" s="275">
        <v>184054</v>
      </c>
      <c r="V622" s="276">
        <v>-1260</v>
      </c>
      <c r="W622" s="277">
        <v>182794</v>
      </c>
      <c r="X622" s="275">
        <v>6308</v>
      </c>
      <c r="Y622" s="275">
        <v>27776</v>
      </c>
      <c r="Z622" s="276">
        <v>149970</v>
      </c>
      <c r="AA622" s="285">
        <v>5685</v>
      </c>
      <c r="AB622" s="295">
        <v>176847.38300625331</v>
      </c>
    </row>
    <row r="623" spans="1:28" ht="15.75" customHeight="1">
      <c r="A623" s="125" t="s">
        <v>151</v>
      </c>
      <c r="B623" s="117" t="s">
        <v>144</v>
      </c>
      <c r="C623" s="278">
        <v>4765</v>
      </c>
      <c r="D623" s="279">
        <v>31</v>
      </c>
      <c r="E623" s="279">
        <v>778</v>
      </c>
      <c r="F623" s="279">
        <v>595</v>
      </c>
      <c r="G623" s="279">
        <v>6529</v>
      </c>
      <c r="H623" s="279">
        <v>3314</v>
      </c>
      <c r="I623" s="279">
        <v>26948</v>
      </c>
      <c r="J623" s="279">
        <v>12978</v>
      </c>
      <c r="K623" s="279">
        <v>17569</v>
      </c>
      <c r="L623" s="279">
        <v>14018</v>
      </c>
      <c r="M623" s="279">
        <v>1326</v>
      </c>
      <c r="N623" s="279">
        <v>3060</v>
      </c>
      <c r="O623" s="279">
        <v>19219</v>
      </c>
      <c r="P623" s="279">
        <v>17257</v>
      </c>
      <c r="Q623" s="279">
        <v>24549</v>
      </c>
      <c r="R623" s="279">
        <v>12733</v>
      </c>
      <c r="S623" s="279">
        <v>15936</v>
      </c>
      <c r="T623" s="279">
        <v>11805</v>
      </c>
      <c r="U623" s="279">
        <v>193410</v>
      </c>
      <c r="V623" s="280">
        <v>-1324</v>
      </c>
      <c r="W623" s="281">
        <v>192086</v>
      </c>
      <c r="X623" s="279">
        <v>5574</v>
      </c>
      <c r="Y623" s="279">
        <v>34072</v>
      </c>
      <c r="Z623" s="280">
        <v>153764</v>
      </c>
      <c r="AA623" s="286">
        <v>6611</v>
      </c>
      <c r="AB623" s="296">
        <v>185249.35679441137</v>
      </c>
    </row>
    <row r="624" spans="1:28" ht="15.75" customHeight="1">
      <c r="B624" s="25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</row>
  </sheetData>
  <phoneticPr fontId="3"/>
  <printOptions headings="1"/>
  <pageMargins left="0.78740157480314965" right="0.70866141732283472" top="0.74803149606299213" bottom="0.74803149606299213" header="0.31496062992125984" footer="0.31496062992125984"/>
  <pageSetup paperSize="9" scale="34" fitToHeight="0" orientation="landscape" r:id="rId1"/>
  <headerFooter>
    <oddHeader>&amp;R&amp;"ＭＳ ゴシック,標準"&amp;10&amp;D</oddHeader>
  </headerFooter>
  <rowBreaks count="11" manualBreakCount="11">
    <brk id="52" max="27" man="1"/>
    <brk id="104" max="27" man="1"/>
    <brk id="156" max="27" man="1"/>
    <brk id="208" max="27" man="1"/>
    <brk id="260" max="27" man="1"/>
    <brk id="312" max="27" man="1"/>
    <brk id="364" max="27" man="1"/>
    <brk id="416" max="27" man="1"/>
    <brk id="468" max="27" man="1"/>
    <brk id="520" max="27" man="1"/>
    <brk id="572" max="27" man="1"/>
  </rowBreaks>
  <ignoredErrors>
    <ignoredError sqref="A4:A45 A46:A51 A56:A103 A108:A155 A160:A207 A212:A259 A264:A311 A316:A363 A368:A415 A420:A467 A472:A5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64"/>
  <sheetViews>
    <sheetView showGridLines="0" tabSelected="1" view="pageBreakPreview" zoomScale="70" zoomScaleNormal="90" zoomScaleSheetLayoutView="7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9" defaultRowHeight="16.5" customHeight="1"/>
  <cols>
    <col min="1" max="1" width="2.5" style="24" customWidth="1"/>
    <col min="2" max="2" width="37.375" style="24" customWidth="1"/>
    <col min="3" max="5" width="11.25" style="24" customWidth="1"/>
    <col min="6" max="11" width="9.375" style="24" customWidth="1"/>
    <col min="12" max="12" width="10" style="24" customWidth="1"/>
    <col min="13" max="16384" width="9" style="24"/>
  </cols>
  <sheetData>
    <row r="1" spans="1:12" ht="16.5" customHeight="1" thickBot="1">
      <c r="A1" s="95" t="str">
        <f ca="1">RIGHT(CELL("filename",A1),LEN(CELL("filename",A1))-FIND("]",CELL("filename",A1)))</f>
        <v>地域分析</v>
      </c>
    </row>
    <row r="2" spans="1:12" ht="16.5" customHeight="1" thickBot="1">
      <c r="A2" s="34"/>
      <c r="B2" s="259" t="s">
        <v>2</v>
      </c>
      <c r="C2" s="210" t="s">
        <v>274</v>
      </c>
      <c r="D2" s="41"/>
      <c r="E2" s="260" t="s">
        <v>185</v>
      </c>
      <c r="F2" s="210" t="s">
        <v>273</v>
      </c>
      <c r="G2" s="41"/>
      <c r="H2" s="41"/>
      <c r="I2" s="41"/>
      <c r="J2" s="41"/>
      <c r="K2" s="41"/>
    </row>
    <row r="3" spans="1:12" ht="16.5" customHeight="1">
      <c r="A3" s="4"/>
      <c r="B3" s="5"/>
      <c r="C3" s="5"/>
      <c r="D3" s="2"/>
      <c r="E3" s="2"/>
      <c r="F3" s="2"/>
      <c r="G3" s="2"/>
      <c r="H3" s="1"/>
      <c r="I3" s="2"/>
      <c r="J3" s="2"/>
      <c r="K3" s="2"/>
    </row>
    <row r="4" spans="1:12" ht="16.5" customHeight="1">
      <c r="A4" s="6"/>
      <c r="B4" s="7"/>
      <c r="C4" s="345" t="s">
        <v>98</v>
      </c>
      <c r="D4" s="346"/>
      <c r="E4" s="347"/>
      <c r="F4" s="346" t="s">
        <v>102</v>
      </c>
      <c r="G4" s="346"/>
      <c r="H4" s="345" t="s">
        <v>103</v>
      </c>
      <c r="I4" s="347"/>
      <c r="J4" s="346" t="s">
        <v>104</v>
      </c>
      <c r="K4" s="347"/>
    </row>
    <row r="5" spans="1:12" ht="16.5" customHeight="1">
      <c r="A5" s="12"/>
      <c r="B5" s="13"/>
      <c r="C5" s="205" t="str">
        <f>コード表!$I$109</f>
        <v>令和２年度</v>
      </c>
      <c r="D5" s="205" t="str">
        <f>コード表!$J$109</f>
        <v>令和３年度</v>
      </c>
      <c r="E5" s="205" t="str">
        <f>コード表!$K$109</f>
        <v>令和４年度</v>
      </c>
      <c r="F5" s="206" t="str">
        <f>コード表!$J$110</f>
        <v>R3</v>
      </c>
      <c r="G5" s="207" t="str">
        <f>コード表!$K$110</f>
        <v>R4</v>
      </c>
      <c r="H5" s="206" t="str">
        <f>コード表!$J$110</f>
        <v>R3</v>
      </c>
      <c r="I5" s="207" t="str">
        <f>コード表!$K$110</f>
        <v>R4</v>
      </c>
      <c r="J5" s="206" t="str">
        <f>コード表!$J$110</f>
        <v>R3</v>
      </c>
      <c r="K5" s="207" t="str">
        <f>コード表!$K$110</f>
        <v>R4</v>
      </c>
    </row>
    <row r="6" spans="1:12" ht="16.5" customHeight="1">
      <c r="A6" s="261">
        <v>1</v>
      </c>
      <c r="B6" s="262" t="s">
        <v>72</v>
      </c>
      <c r="C6" s="311">
        <f ca="1">IF(C$5="","",HLOOKUP(コード表!$I$108,地域分析BD!$C$4:$N$31,24,FALSE))</f>
        <v>1947</v>
      </c>
      <c r="D6" s="311">
        <f ca="1">IF(D$5="","",HLOOKUP(コード表!$J$108,地域分析BD!$C$4:$N$31,24,FALSE))</f>
        <v>2151</v>
      </c>
      <c r="E6" s="311">
        <f ca="1">HLOOKUP(コード表!$K$108,地域分析BD!$C$4:$N$31,24,FALSE)</f>
        <v>1883</v>
      </c>
      <c r="F6" s="344">
        <f ca="1">IF(F$5="","",IF(F$5="H23","-",HLOOKUP(コード表!J$108,地域分析BD!$C$36:$N$63,24,FALSE)))</f>
        <v>10.478</v>
      </c>
      <c r="G6" s="344">
        <f ca="1">IF(G$5="","",IF(G$5="H23","-",HLOOKUP(コード表!K$108,地域分析BD!$C$36:$N$63,24,FALSE)))</f>
        <v>-12.459</v>
      </c>
      <c r="H6" s="317">
        <f ca="1">IF(H$5="","",HLOOKUP(コード表!$J$108,地域分析BD!$C$68:$N$93,24,FALSE))</f>
        <v>0.2</v>
      </c>
      <c r="I6" s="317">
        <f ca="1">HLOOKUP(コード表!$K$108,地域分析BD!$C$68:$N$93,24,FALSE)</f>
        <v>0.1</v>
      </c>
      <c r="J6" s="317">
        <f ca="1">IF(J$5="","",IF(J$5="H23","-",HLOOKUP(コード表!J$108,地域分析BD!$C$100:$N$125,24,FALSE)))</f>
        <v>1.6247872444643739E-2</v>
      </c>
      <c r="K6" s="317">
        <f ca="1">IF(K$5="","",IF(K$5="H23","-",HLOOKUP(コード表!K$108,地域分析BD!$C$100:$N$125,24,FALSE)))</f>
        <v>-2.0295050658112455E-2</v>
      </c>
      <c r="L6" s="72"/>
    </row>
    <row r="7" spans="1:12" ht="16.5" customHeight="1">
      <c r="A7" s="16"/>
      <c r="B7" s="61" t="s">
        <v>51</v>
      </c>
      <c r="C7" s="312">
        <f ca="1">IF(C$5="","",HLOOKUP(コード表!$I$108,地域分析BD!$C$4:$N$31,3,FALSE))</f>
        <v>284</v>
      </c>
      <c r="D7" s="312">
        <f ca="1">IF(D$5="","",HLOOKUP(コード表!$J$108,地域分析BD!$C$4:$N$31,3,FALSE))</f>
        <v>317</v>
      </c>
      <c r="E7" s="312">
        <f ca="1">HLOOKUP(コード表!$K$108,地域分析BD!$C$4:$N$31,3,FALSE)</f>
        <v>271</v>
      </c>
      <c r="F7" s="318">
        <f ca="1">IF(F$5="","",IF(F$5="H23","-",HLOOKUP(コード表!J$108,地域分析BD!$C$36:$N$63,3,FALSE)))</f>
        <v>11.62</v>
      </c>
      <c r="G7" s="318">
        <f ca="1">IF(G$5="","",IF(G$5="H23","-",HLOOKUP(コード表!K$108,地域分析BD!$C$36:$N$63,3,FALSE)))</f>
        <v>-14.510999999999999</v>
      </c>
      <c r="H7" s="318">
        <f ca="1">IF(H$5="","",HLOOKUP(コード表!$J$108,地域分析BD!$C$68:$N$93,3,FALSE))</f>
        <v>0</v>
      </c>
      <c r="I7" s="318">
        <f ca="1">HLOOKUP(コード表!$K$108,地域分析BD!$C$68:$N$93,3,FALSE)</f>
        <v>0</v>
      </c>
      <c r="J7" s="318">
        <f ca="1">IF(J$5="","",IF(J$5="H23","-",HLOOKUP(コード表!J$108,地域分析BD!$C$100:$N$125,3,FALSE)))</f>
        <v>2.6283323072217812E-3</v>
      </c>
      <c r="K7" s="318">
        <f ca="1">IF(K$5="","",IF(K$5="H23","-",HLOOKUP(コード表!K$108,地域分析BD!$C$100:$N$125,3,FALSE)))</f>
        <v>-3.483478844302884E-3</v>
      </c>
      <c r="L7" s="72"/>
    </row>
    <row r="8" spans="1:12" ht="16.5" customHeight="1">
      <c r="A8" s="18"/>
      <c r="B8" s="62" t="s">
        <v>52</v>
      </c>
      <c r="C8" s="313">
        <f ca="1">IF(C$5="","",HLOOKUP(コード表!$I$108,地域分析BD!$C$4:$N$31,4,FALSE))</f>
        <v>52</v>
      </c>
      <c r="D8" s="313">
        <f ca="1">IF(D$5="","",HLOOKUP(コード表!$J$108,地域分析BD!$C$4:$N$31,4,FALSE))</f>
        <v>53</v>
      </c>
      <c r="E8" s="313">
        <f ca="1">HLOOKUP(コード表!$K$108,地域分析BD!$C$4:$N$31,4,FALSE)</f>
        <v>46</v>
      </c>
      <c r="F8" s="319">
        <f ca="1">IF(F$5="","",IF(F$5="H23","-",HLOOKUP(コード表!J$108,地域分析BD!$C$36:$N$63,4,FALSE)))</f>
        <v>1.923</v>
      </c>
      <c r="G8" s="319">
        <f ca="1">IF(G$5="","",IF(G$5="H23","-",HLOOKUP(コード表!K$108,地域分析BD!$C$36:$N$63,4,FALSE)))</f>
        <v>-13.208</v>
      </c>
      <c r="H8" s="319">
        <f ca="1">IF(H$5="","",HLOOKUP(コード表!$J$108,地域分析BD!$C$68:$N$93,4,FALSE))</f>
        <v>0</v>
      </c>
      <c r="I8" s="319">
        <f ca="1">HLOOKUP(コード表!$K$108,地域分析BD!$C$68:$N$93,4,FALSE)</f>
        <v>0</v>
      </c>
      <c r="J8" s="319">
        <f ca="1">IF(J$5="","",IF(J$5="H23","-",HLOOKUP(コード表!J$108,地域分析BD!$C$100:$N$125,4,FALSE)))</f>
        <v>7.9646433552175188E-5</v>
      </c>
      <c r="K8" s="319">
        <f ca="1">IF(K$5="","",IF(K$5="H23","-",HLOOKUP(コード表!K$108,地域分析BD!$C$100:$N$125,4,FALSE)))</f>
        <v>-5.3009460674174316E-4</v>
      </c>
      <c r="L8" s="72"/>
    </row>
    <row r="9" spans="1:12" ht="16.5" customHeight="1">
      <c r="A9" s="18"/>
      <c r="B9" s="62" t="s">
        <v>53</v>
      </c>
      <c r="C9" s="314">
        <f ca="1">IF(C$5="","",HLOOKUP(コード表!$I$108,地域分析BD!$C$4:$N$31,5,FALSE))</f>
        <v>1611</v>
      </c>
      <c r="D9" s="314">
        <f ca="1">IF(D$5="","",HLOOKUP(コード表!$J$108,地域分析BD!$C$4:$N$31,5,FALSE))</f>
        <v>1781</v>
      </c>
      <c r="E9" s="314">
        <f ca="1">HLOOKUP(コード表!$K$108,地域分析BD!$C$4:$N$31,5,FALSE)</f>
        <v>1566</v>
      </c>
      <c r="F9" s="320">
        <f ca="1">IF(F$5="","",IF(F$5="H23","-",HLOOKUP(コード表!J$108,地域分析BD!$C$36:$N$63,5,FALSE)))</f>
        <v>10.552</v>
      </c>
      <c r="G9" s="320">
        <f ca="1">IF(G$5="","",IF(G$5="H23","-",HLOOKUP(コード表!K$108,地域分析BD!$C$36:$N$63,5,FALSE)))</f>
        <v>-12.071999999999999</v>
      </c>
      <c r="H9" s="320">
        <f ca="1">IF(H$5="","",HLOOKUP(コード表!$J$108,地域分析BD!$C$68:$N$93,5,FALSE))</f>
        <v>0.1</v>
      </c>
      <c r="I9" s="320">
        <f ca="1">HLOOKUP(コード表!$K$108,地域分析BD!$C$68:$N$93,5,FALSE)</f>
        <v>0.1</v>
      </c>
      <c r="J9" s="320">
        <f ca="1">IF(J$5="","",IF(J$5="H23","-",HLOOKUP(コード表!J$108,地域分析BD!$C$100:$N$125,5,FALSE)))</f>
        <v>1.3539893703869781E-2</v>
      </c>
      <c r="K9" s="320">
        <f ca="1">IF(K$5="","",IF(K$5="H23","-",HLOOKUP(コード表!K$108,地域分析BD!$C$100:$N$125,5,FALSE)))</f>
        <v>-1.6281477207067827E-2</v>
      </c>
      <c r="L9" s="72"/>
    </row>
    <row r="10" spans="1:12" ht="16.5" customHeight="1">
      <c r="A10" s="261">
        <v>2</v>
      </c>
      <c r="B10" s="262" t="s">
        <v>73</v>
      </c>
      <c r="C10" s="315">
        <f ca="1">IF(C$5="","",HLOOKUP(コード表!$I$108,地域分析BD!$C$4:$N$31,25,FALSE))</f>
        <v>85052</v>
      </c>
      <c r="D10" s="315">
        <f ca="1">IF(D$5="","",HLOOKUP(コード表!$J$108,地域分析BD!$C$4:$N$31,25,FALSE))</f>
        <v>111457</v>
      </c>
      <c r="E10" s="315">
        <f ca="1">HLOOKUP(コード表!$K$108,地域分析BD!$C$4:$N$31,25,FALSE)</f>
        <v>79485</v>
      </c>
      <c r="F10" s="321">
        <f ca="1">IF(F$5="","",IF(F$5="H23","-",HLOOKUP(コード表!J$108,地域分析BD!$C$36:$N$63,25,FALSE)))</f>
        <v>31.045999999999999</v>
      </c>
      <c r="G10" s="321">
        <f ca="1">IF(G$5="","",IF(G$5="H23","-",HLOOKUP(コード表!K$108,地域分析BD!$C$36:$N$63,25,FALSE)))</f>
        <v>-28.686</v>
      </c>
      <c r="H10" s="321">
        <f ca="1">IF(H$5="","",HLOOKUP(コード表!$J$108,地域分析BD!$C$68:$N$93,25,FALSE))</f>
        <v>8.4</v>
      </c>
      <c r="I10" s="321">
        <f ca="1">HLOOKUP(コード表!$K$108,地域分析BD!$C$68:$N$93,25,FALSE)</f>
        <v>5.7</v>
      </c>
      <c r="J10" s="321">
        <f ca="1">IF(J$5="","",IF(J$5="H23","-",HLOOKUP(コード表!J$108,地域分析BD!$C$100:$N$125,25,FALSE)))</f>
        <v>2.1030640779451857</v>
      </c>
      <c r="K10" s="321">
        <f ca="1">IF(K$5="","",IF(K$5="H23","-",HLOOKUP(コード表!K$108,地域分析BD!$C$100:$N$125,25,FALSE)))</f>
        <v>-2.4211692523924309</v>
      </c>
      <c r="L10" s="72"/>
    </row>
    <row r="11" spans="1:12" ht="16.5" customHeight="1">
      <c r="A11" s="16"/>
      <c r="B11" s="61" t="s">
        <v>54</v>
      </c>
      <c r="C11" s="313">
        <f ca="1">IF(C$5="","",HLOOKUP(コード表!$I$108,地域分析BD!$C$4:$N$31,6,FALSE))</f>
        <v>601</v>
      </c>
      <c r="D11" s="313">
        <f ca="1">IF(D$5="","",HLOOKUP(コード表!$J$108,地域分析BD!$C$4:$N$31,6,FALSE))</f>
        <v>607</v>
      </c>
      <c r="E11" s="313">
        <f ca="1">HLOOKUP(コード表!$K$108,地域分析BD!$C$4:$N$31,6,FALSE)</f>
        <v>743</v>
      </c>
      <c r="F11" s="319">
        <f ca="1">IF(F$5="","",IF(F$5="H23","-",HLOOKUP(コード表!J$108,地域分析BD!$C$36:$N$63,6,FALSE)))</f>
        <v>0.998</v>
      </c>
      <c r="G11" s="319">
        <f ca="1">IF(G$5="","",IF(G$5="H23","-",HLOOKUP(コード表!K$108,地域分析BD!$C$36:$N$63,6,FALSE)))</f>
        <v>22.405000000000001</v>
      </c>
      <c r="H11" s="319">
        <f ca="1">IF(H$5="","",HLOOKUP(コード表!$J$108,地域分析BD!$C$68:$N$93,6,FALSE))</f>
        <v>0</v>
      </c>
      <c r="I11" s="319">
        <f ca="1">HLOOKUP(コード表!$K$108,地域分析BD!$C$68:$N$93,6,FALSE)</f>
        <v>0.1</v>
      </c>
      <c r="J11" s="319">
        <f ca="1">IF(J$5="","",IF(J$5="H23","-",HLOOKUP(コード表!J$108,地域分析BD!$C$100:$N$125,6,FALSE)))</f>
        <v>4.7787860131305105E-4</v>
      </c>
      <c r="K11" s="319">
        <f ca="1">IF(K$5="","",IF(K$5="H23","-",HLOOKUP(コード表!K$108,地域分析BD!$C$100:$N$125,6,FALSE)))</f>
        <v>1.029898093098244E-2</v>
      </c>
      <c r="L11" s="72"/>
    </row>
    <row r="12" spans="1:12" ht="16.5" customHeight="1">
      <c r="A12" s="18"/>
      <c r="B12" s="62" t="s">
        <v>55</v>
      </c>
      <c r="C12" s="313">
        <f ca="1">IF(C$5="","",HLOOKUP(コード表!$I$108,地域分析BD!$C$4:$N$31,7,FALSE))</f>
        <v>14211</v>
      </c>
      <c r="D12" s="313">
        <f ca="1">IF(D$5="","",HLOOKUP(コード表!$J$108,地域分析BD!$C$4:$N$31,7,FALSE))</f>
        <v>13420</v>
      </c>
      <c r="E12" s="313">
        <f ca="1">HLOOKUP(コード表!$K$108,地域分析BD!$C$4:$N$31,7,FALSE)</f>
        <v>13001</v>
      </c>
      <c r="F12" s="319">
        <f ca="1">IF(F$5="","",IF(F$5="H23","-",HLOOKUP(コード表!J$108,地域分析BD!$C$36:$N$63,7,FALSE)))</f>
        <v>-5.5659999999999998</v>
      </c>
      <c r="G12" s="319">
        <f ca="1">IF(G$5="","",IF(G$5="H23","-",HLOOKUP(コード表!K$108,地域分析BD!$C$36:$N$63,7,FALSE)))</f>
        <v>-3.1219999999999999</v>
      </c>
      <c r="H12" s="319">
        <f ca="1">IF(H$5="","",HLOOKUP(コード表!$J$108,地域分析BD!$C$68:$N$93,7,FALSE))</f>
        <v>1</v>
      </c>
      <c r="I12" s="319">
        <f ca="1">HLOOKUP(コード表!$K$108,地域分析BD!$C$68:$N$93,7,FALSE)</f>
        <v>0.9</v>
      </c>
      <c r="J12" s="319">
        <f ca="1">IF(J$5="","",IF(J$5="H23","-",HLOOKUP(コード表!J$108,地域分析BD!$C$100:$N$125,7,FALSE)))</f>
        <v>-6.3000328939770575E-2</v>
      </c>
      <c r="K12" s="319">
        <f ca="1">IF(K$5="","",IF(K$5="H23","-",HLOOKUP(コード表!K$108,地域分析BD!$C$100:$N$125,7,FALSE)))</f>
        <v>-3.1729948603541488E-2</v>
      </c>
      <c r="L12" s="72"/>
    </row>
    <row r="13" spans="1:12" ht="16.5" customHeight="1">
      <c r="A13" s="18"/>
      <c r="B13" s="62" t="s">
        <v>57</v>
      </c>
      <c r="C13" s="314">
        <f ca="1">IF(C$5="","",HLOOKUP(コード表!$I$108,地域分析BD!$C$4:$N$31,8,FALSE))</f>
        <v>70240</v>
      </c>
      <c r="D13" s="314">
        <f ca="1">IF(D$5="","",HLOOKUP(コード表!$J$108,地域分析BD!$C$4:$N$31,8,FALSE))</f>
        <v>97430</v>
      </c>
      <c r="E13" s="314">
        <f ca="1">HLOOKUP(コード表!$K$108,地域分析BD!$C$4:$N$31,8,FALSE)</f>
        <v>65741</v>
      </c>
      <c r="F13" s="320">
        <f ca="1">IF(F$5="","",IF(F$5="H23","-",HLOOKUP(コード表!J$108,地域分析BD!$C$36:$N$63,8,FALSE)))</f>
        <v>38.71</v>
      </c>
      <c r="G13" s="320">
        <f ca="1">IF(G$5="","",IF(G$5="H23","-",HLOOKUP(コード表!K$108,地域分析BD!$C$36:$N$63,8,FALSE)))</f>
        <v>-32.524999999999999</v>
      </c>
      <c r="H13" s="320">
        <f ca="1">IF(H$5="","",HLOOKUP(コード表!$J$108,地域分析BD!$C$68:$N$93,8,FALSE))</f>
        <v>7.4</v>
      </c>
      <c r="I13" s="320">
        <f ca="1">HLOOKUP(コード表!$K$108,地域分析BD!$C$68:$N$93,8,FALSE)</f>
        <v>4.7</v>
      </c>
      <c r="J13" s="320">
        <f ca="1">IF(J$5="","",IF(J$5="H23","-",HLOOKUP(コード表!J$108,地域分析BD!$C$100:$N$125,8,FALSE)))</f>
        <v>2.1655865282836433</v>
      </c>
      <c r="K13" s="320">
        <f ca="1">IF(K$5="","",IF(K$5="H23","-",HLOOKUP(コード表!K$108,地域分析BD!$C$100:$N$125,8,FALSE)))</f>
        <v>-2.3997382847198714</v>
      </c>
      <c r="L13" s="72"/>
    </row>
    <row r="14" spans="1:12" ht="16.5" customHeight="1">
      <c r="A14" s="261">
        <v>3</v>
      </c>
      <c r="B14" s="262" t="s">
        <v>74</v>
      </c>
      <c r="C14" s="315">
        <f ca="1">IF(C$5="","",HLOOKUP(コード表!$I$108,地域分析BD!$C$4:$N$31,26,FALSE))</f>
        <v>1177247</v>
      </c>
      <c r="D14" s="315">
        <f ca="1">IF(D$5="","",HLOOKUP(コード表!$J$108,地域分析BD!$C$4:$N$31,26,FALSE))</f>
        <v>1217325</v>
      </c>
      <c r="E14" s="315">
        <f ca="1">HLOOKUP(コード表!$K$108,地域分析BD!$C$4:$N$31,26,FALSE)</f>
        <v>1322110</v>
      </c>
      <c r="F14" s="321">
        <f ca="1">IF(F$5="","",IF(F$5="H23","-",HLOOKUP(コード表!J$108,地域分析BD!$C$36:$N$63,26,FALSE)))</f>
        <v>3.4039999999999999</v>
      </c>
      <c r="G14" s="321">
        <f ca="1">IF(G$5="","",IF(G$5="H23","-",HLOOKUP(コード表!K$108,地域分析BD!$C$36:$N$63,26,FALSE)))</f>
        <v>8.6080000000000005</v>
      </c>
      <c r="H14" s="321">
        <f ca="1">IF(H$5="","",HLOOKUP(コード表!$J$108,地域分析BD!$C$68:$N$93,26,FALSE))</f>
        <v>92.2</v>
      </c>
      <c r="I14" s="321">
        <f ca="1">HLOOKUP(コード表!$K$108,地域分析BD!$C$68:$N$93,26,FALSE)</f>
        <v>94.9</v>
      </c>
      <c r="J14" s="321">
        <f ca="1">IF(J$5="","",IF(J$5="H23","-",HLOOKUP(コード表!J$108,地域分析BD!$C$100:$N$125,26,FALSE)))</f>
        <v>3.1920697639040769</v>
      </c>
      <c r="K14" s="321">
        <f ca="1">IF(K$5="","",IF(K$5="H23","-",HLOOKUP(コード表!K$108,地域分析BD!$C$100:$N$125,26,FALSE)))</f>
        <v>7.935137623919081</v>
      </c>
      <c r="L14" s="72"/>
    </row>
    <row r="15" spans="1:12" ht="16.5" customHeight="1">
      <c r="A15" s="18"/>
      <c r="B15" s="62" t="s">
        <v>56</v>
      </c>
      <c r="C15" s="313">
        <f ca="1">IF(C$5="","",HLOOKUP(コード表!$I$108,地域分析BD!$C$4:$N$31,9,FALSE))</f>
        <v>32955</v>
      </c>
      <c r="D15" s="313">
        <f ca="1">IF(D$5="","",HLOOKUP(コード表!$J$108,地域分析BD!$C$4:$N$31,9,FALSE))</f>
        <v>33616</v>
      </c>
      <c r="E15" s="313">
        <f ca="1">HLOOKUP(コード表!$K$108,地域分析BD!$C$4:$N$31,9,FALSE)</f>
        <v>26951</v>
      </c>
      <c r="F15" s="319">
        <f ca="1">IF(F$5="","",IF(F$5="H23","-",HLOOKUP(コード表!J$108,地域分析BD!$C$36:$N$63,9,FALSE)))</f>
        <v>2.0059999999999998</v>
      </c>
      <c r="G15" s="319">
        <f ca="1">IF(G$5="","",IF(G$5="H23","-",HLOOKUP(コード表!K$108,地域分析BD!$C$36:$N$63,9,FALSE)))</f>
        <v>-19.827000000000002</v>
      </c>
      <c r="H15" s="319">
        <f ca="1">IF(H$5="","",HLOOKUP(コード表!$J$108,地域分析BD!$C$68:$N$93,9,FALSE))</f>
        <v>2.5</v>
      </c>
      <c r="I15" s="319">
        <f ca="1">HLOOKUP(コード表!$K$108,地域分析BD!$C$68:$N$93,9,FALSE)</f>
        <v>1.9</v>
      </c>
      <c r="J15" s="319">
        <f ca="1">IF(J$5="","",IF(J$5="H23","-",HLOOKUP(コード表!J$108,地域分析BD!$C$100:$N$125,9,FALSE)))</f>
        <v>5.2646292577987801E-2</v>
      </c>
      <c r="K15" s="319">
        <f ca="1">IF(K$5="","",IF(K$5="H23","-",HLOOKUP(コード表!K$108,地域分析BD!$C$100:$N$125,9,FALSE)))</f>
        <v>-0.50472579341910262</v>
      </c>
      <c r="L15" s="72"/>
    </row>
    <row r="16" spans="1:12" ht="16.5" customHeight="1">
      <c r="A16" s="18"/>
      <c r="B16" s="62" t="s">
        <v>58</v>
      </c>
      <c r="C16" s="313">
        <f ca="1">IF(C$5="","",HLOOKUP(コード表!$I$108,地域分析BD!$C$4:$N$31,10,FALSE))</f>
        <v>111741</v>
      </c>
      <c r="D16" s="313">
        <f ca="1">IF(D$5="","",HLOOKUP(コード表!$J$108,地域分析BD!$C$4:$N$31,10,FALSE))</f>
        <v>118730</v>
      </c>
      <c r="E16" s="313">
        <f ca="1">HLOOKUP(コード表!$K$108,地域分析BD!$C$4:$N$31,10,FALSE)</f>
        <v>124290</v>
      </c>
      <c r="F16" s="319">
        <f ca="1">IF(F$5="","",IF(F$5="H23","-",HLOOKUP(コード表!J$108,地域分析BD!$C$36:$N$63,10,FALSE)))</f>
        <v>6.2549999999999999</v>
      </c>
      <c r="G16" s="319">
        <f ca="1">IF(G$5="","",IF(G$5="H23","-",HLOOKUP(コード表!K$108,地域分析BD!$C$36:$N$63,10,FALSE)))</f>
        <v>4.6829999999999998</v>
      </c>
      <c r="H16" s="319">
        <f ca="1">IF(H$5="","",HLOOKUP(コード表!$J$108,地域分析BD!$C$68:$N$93,10,FALSE))</f>
        <v>9</v>
      </c>
      <c r="I16" s="319">
        <f ca="1">HLOOKUP(コード表!$K$108,地域分析BD!$C$68:$N$93,10,FALSE)</f>
        <v>8.9</v>
      </c>
      <c r="J16" s="319">
        <f ca="1">IF(J$5="","",IF(J$5="H23","-",HLOOKUP(コード表!J$108,地域分析BD!$C$100:$N$125,10,FALSE)))</f>
        <v>0.5566489240961523</v>
      </c>
      <c r="K16" s="319">
        <f ca="1">IF(K$5="","",IF(K$5="H23","-",HLOOKUP(コード表!K$108,地域分析BD!$C$100:$N$125,10,FALSE)))</f>
        <v>0.42104657335487033</v>
      </c>
      <c r="L16" s="72"/>
    </row>
    <row r="17" spans="1:12" ht="16.5" customHeight="1">
      <c r="A17" s="18"/>
      <c r="B17" s="62" t="s">
        <v>59</v>
      </c>
      <c r="C17" s="313">
        <f ca="1">IF(C$5="","",HLOOKUP(コード表!$I$108,地域分析BD!$C$4:$N$31,11,FALSE))</f>
        <v>73671</v>
      </c>
      <c r="D17" s="313">
        <f ca="1">IF(D$5="","",HLOOKUP(コード表!$J$108,地域分析BD!$C$4:$N$31,11,FALSE))</f>
        <v>78739</v>
      </c>
      <c r="E17" s="313">
        <f ca="1">HLOOKUP(コード表!$K$108,地域分析BD!$C$4:$N$31,11,FALSE)</f>
        <v>131070</v>
      </c>
      <c r="F17" s="319">
        <f ca="1">IF(F$5="","",IF(F$5="H23","-",HLOOKUP(コード表!J$108,地域分析BD!$C$36:$N$63,11,FALSE)))</f>
        <v>6.8789999999999996</v>
      </c>
      <c r="G17" s="319">
        <f ca="1">IF(G$5="","",IF(G$5="H23","-",HLOOKUP(コード表!K$108,地域分析BD!$C$36:$N$63,11,FALSE)))</f>
        <v>66.460999999999999</v>
      </c>
      <c r="H17" s="319">
        <f ca="1">IF(H$5="","",HLOOKUP(コード表!$J$108,地域分析BD!$C$68:$N$93,11,FALSE))</f>
        <v>6</v>
      </c>
      <c r="I17" s="319">
        <f ca="1">HLOOKUP(コード表!$K$108,地域分析BD!$C$68:$N$93,11,FALSE)</f>
        <v>9.4</v>
      </c>
      <c r="J17" s="319">
        <f ca="1">IF(J$5="","",IF(J$5="H23","-",HLOOKUP(コード表!J$108,地域分析BD!$C$100:$N$125,11,FALSE)))</f>
        <v>0.40364812524242383</v>
      </c>
      <c r="K17" s="319">
        <f ca="1">IF(K$5="","",IF(K$5="H23","-",HLOOKUP(コード表!K$108,地域分析BD!$C$100:$N$125,11,FALSE)))</f>
        <v>3.9629115522003091</v>
      </c>
      <c r="L17" s="72"/>
    </row>
    <row r="18" spans="1:12" ht="16.5" customHeight="1">
      <c r="A18" s="18"/>
      <c r="B18" s="62" t="s">
        <v>60</v>
      </c>
      <c r="C18" s="313">
        <f ca="1">IF(C$5="","",HLOOKUP(コード表!$I$108,地域分析BD!$C$4:$N$31,12,FALSE))</f>
        <v>32359</v>
      </c>
      <c r="D18" s="313">
        <f ca="1">IF(D$5="","",HLOOKUP(コード表!$J$108,地域分析BD!$C$4:$N$31,12,FALSE))</f>
        <v>30762</v>
      </c>
      <c r="E18" s="313">
        <f ca="1">HLOOKUP(コード表!$K$108,地域分析BD!$C$4:$N$31,12,FALSE)</f>
        <v>47718</v>
      </c>
      <c r="F18" s="319">
        <f ca="1">IF(F$5="","",IF(F$5="H23","-",HLOOKUP(コード表!J$108,地域分析BD!$C$36:$N$63,12,FALSE)))</f>
        <v>-4.9349999999999996</v>
      </c>
      <c r="G18" s="319">
        <f ca="1">IF(G$5="","",IF(G$5="H23","-",HLOOKUP(コード表!K$108,地域分析BD!$C$36:$N$63,12,FALSE)))</f>
        <v>55.12</v>
      </c>
      <c r="H18" s="319">
        <f ca="1">IF(H$5="","",HLOOKUP(コード表!$J$108,地域分析BD!$C$68:$N$93,12,FALSE))</f>
        <v>2.2999999999999998</v>
      </c>
      <c r="I18" s="319">
        <f ca="1">HLOOKUP(コード表!$K$108,地域分析BD!$C$68:$N$93,12,FALSE)</f>
        <v>3.4</v>
      </c>
      <c r="J18" s="319">
        <f ca="1">IF(J$5="","",IF(J$5="H23","-",HLOOKUP(コード表!J$108,地域分析BD!$C$100:$N$125,12,FALSE)))</f>
        <v>-0.12719535438282376</v>
      </c>
      <c r="K18" s="319">
        <f ca="1">IF(K$5="","",IF(K$5="H23","-",HLOOKUP(コード表!K$108,地域分析BD!$C$100:$N$125,12,FALSE)))</f>
        <v>1.2840405931304284</v>
      </c>
      <c r="L18" s="72"/>
    </row>
    <row r="19" spans="1:12" ht="16.5" customHeight="1">
      <c r="A19" s="18"/>
      <c r="B19" s="62" t="s">
        <v>61</v>
      </c>
      <c r="C19" s="313">
        <f ca="1">IF(C$5="","",HLOOKUP(コード表!$I$108,地域分析BD!$C$4:$N$31,13,FALSE))</f>
        <v>97274</v>
      </c>
      <c r="D19" s="313">
        <f ca="1">IF(D$5="","",HLOOKUP(コード表!$J$108,地域分析BD!$C$4:$N$31,13,FALSE))</f>
        <v>94296</v>
      </c>
      <c r="E19" s="313">
        <f ca="1">HLOOKUP(コード表!$K$108,地域分析BD!$C$4:$N$31,13,FALSE)</f>
        <v>91952</v>
      </c>
      <c r="F19" s="319">
        <f ca="1">IF(F$5="","",IF(F$5="H23","-",HLOOKUP(コード表!J$108,地域分析BD!$C$36:$N$63,13,FALSE)))</f>
        <v>-3.0609999999999999</v>
      </c>
      <c r="G19" s="319">
        <f ca="1">IF(G$5="","",IF(G$5="H23","-",HLOOKUP(コード表!K$108,地域分析BD!$C$36:$N$63,13,FALSE)))</f>
        <v>-2.4860000000000002</v>
      </c>
      <c r="H19" s="319">
        <f ca="1">IF(H$5="","",HLOOKUP(コード表!$J$108,地域分析BD!$C$68:$N$93,13,FALSE))</f>
        <v>7.1</v>
      </c>
      <c r="I19" s="319">
        <f ca="1">HLOOKUP(コード表!$K$108,地域分析BD!$C$68:$N$93,13,FALSE)</f>
        <v>6.6</v>
      </c>
      <c r="J19" s="319">
        <f ca="1">IF(J$5="","",IF(J$5="H23","-",HLOOKUP(コード表!J$108,地域分析BD!$C$100:$N$125,13,FALSE)))</f>
        <v>-0.23718707911837769</v>
      </c>
      <c r="K19" s="319">
        <f ca="1">IF(K$5="","",IF(K$5="H23","-",HLOOKUP(コード表!K$108,地域分析BD!$C$100:$N$125,13,FALSE)))</f>
        <v>-0.17750596545752087</v>
      </c>
      <c r="L19" s="72"/>
    </row>
    <row r="20" spans="1:12" ht="16.5" customHeight="1">
      <c r="A20" s="18"/>
      <c r="B20" s="62" t="s">
        <v>62</v>
      </c>
      <c r="C20" s="313">
        <f ca="1">IF(C$5="","",HLOOKUP(コード表!$I$108,地域分析BD!$C$4:$N$31,14,FALSE))</f>
        <v>89262</v>
      </c>
      <c r="D20" s="313">
        <f ca="1">IF(D$5="","",HLOOKUP(コード表!$J$108,地域分析BD!$C$4:$N$31,14,FALSE))</f>
        <v>92458</v>
      </c>
      <c r="E20" s="313">
        <f ca="1">HLOOKUP(コード表!$K$108,地域分析BD!$C$4:$N$31,14,FALSE)</f>
        <v>104251</v>
      </c>
      <c r="F20" s="319">
        <f ca="1">IF(F$5="","",IF(F$5="H23","-",HLOOKUP(コード表!J$108,地域分析BD!$C$36:$N$63,14,FALSE)))</f>
        <v>3.58</v>
      </c>
      <c r="G20" s="319">
        <f ca="1">IF(G$5="","",IF(G$5="H23","-",HLOOKUP(コード表!K$108,地域分析BD!$C$36:$N$63,14,FALSE)))</f>
        <v>12.755000000000001</v>
      </c>
      <c r="H20" s="319">
        <f ca="1">IF(H$5="","",HLOOKUP(コード表!$J$108,地域分析BD!$C$68:$N$93,14,FALSE))</f>
        <v>7</v>
      </c>
      <c r="I20" s="319">
        <f ca="1">HLOOKUP(コード表!$K$108,地域分析BD!$C$68:$N$93,14,FALSE)</f>
        <v>7.5</v>
      </c>
      <c r="J20" s="319">
        <f ca="1">IF(J$5="","",IF(J$5="H23","-",HLOOKUP(コード表!J$108,地域分析BD!$C$100:$N$125,14,FALSE)))</f>
        <v>0.25455000163275188</v>
      </c>
      <c r="K20" s="319">
        <f ca="1">IF(K$5="","",IF(K$5="H23","-",HLOOKUP(コード表!K$108,地域分析BD!$C$100:$N$125,14,FALSE)))</f>
        <v>0.89305795675791111</v>
      </c>
      <c r="L20" s="72"/>
    </row>
    <row r="21" spans="1:12" ht="16.5" customHeight="1">
      <c r="A21" s="18"/>
      <c r="B21" s="62" t="s">
        <v>63</v>
      </c>
      <c r="C21" s="313">
        <f ca="1">IF(C$5="","",HLOOKUP(コード表!$I$108,地域分析BD!$C$4:$N$31,15,FALSE))</f>
        <v>146879</v>
      </c>
      <c r="D21" s="313">
        <f ca="1">IF(D$5="","",HLOOKUP(コード表!$J$108,地域分析BD!$C$4:$N$31,15,FALSE))</f>
        <v>147331</v>
      </c>
      <c r="E21" s="313">
        <f ca="1">HLOOKUP(コード表!$K$108,地域分析BD!$C$4:$N$31,15,FALSE)</f>
        <v>149410</v>
      </c>
      <c r="F21" s="319">
        <f ca="1">IF(F$5="","",IF(F$5="H23","-",HLOOKUP(コード表!J$108,地域分析BD!$C$36:$N$63,15,FALSE)))</f>
        <v>0.308</v>
      </c>
      <c r="G21" s="319">
        <f ca="1">IF(G$5="","",IF(G$5="H23","-",HLOOKUP(コード表!K$108,地域分析BD!$C$36:$N$63,15,FALSE)))</f>
        <v>1.411</v>
      </c>
      <c r="H21" s="319">
        <f ca="1">IF(H$5="","",HLOOKUP(コード表!$J$108,地域分析BD!$C$68:$N$93,15,FALSE))</f>
        <v>11.2</v>
      </c>
      <c r="I21" s="319">
        <f ca="1">HLOOKUP(コード表!$K$108,地域分析BD!$C$68:$N$93,15,FALSE)</f>
        <v>10.7</v>
      </c>
      <c r="J21" s="319">
        <f ca="1">IF(J$5="","",IF(J$5="H23","-",HLOOKUP(コード表!J$108,地域分析BD!$C$100:$N$125,15,FALSE)))</f>
        <v>3.6000187965583186E-2</v>
      </c>
      <c r="K21" s="319">
        <f ca="1">IF(K$5="","",IF(K$5="H23","-",HLOOKUP(コード表!K$108,地域分析BD!$C$100:$N$125,15,FALSE)))</f>
        <v>0.15743809820229773</v>
      </c>
      <c r="L21" s="72"/>
    </row>
    <row r="22" spans="1:12" ht="16.5" customHeight="1">
      <c r="A22" s="18"/>
      <c r="B22" s="62" t="s">
        <v>64</v>
      </c>
      <c r="C22" s="313">
        <f ca="1">IF(C$5="","",HLOOKUP(コード表!$I$108,地域分析BD!$C$4:$N$31,16,FALSE))</f>
        <v>178465</v>
      </c>
      <c r="D22" s="313">
        <f ca="1">IF(D$5="","",HLOOKUP(コード表!$J$108,地域分析BD!$C$4:$N$31,16,FALSE))</f>
        <v>190302</v>
      </c>
      <c r="E22" s="313">
        <f ca="1">HLOOKUP(コード表!$K$108,地域分析BD!$C$4:$N$31,16,FALSE)</f>
        <v>203928</v>
      </c>
      <c r="F22" s="319">
        <f ca="1">IF(F$5="","",IF(F$5="H23","-",HLOOKUP(コード表!J$108,地域分析BD!$C$36:$N$63,16,FALSE)))</f>
        <v>6.633</v>
      </c>
      <c r="G22" s="319">
        <f ca="1">IF(G$5="","",IF(G$5="H23","-",HLOOKUP(コード表!K$108,地域分析BD!$C$36:$N$63,16,FALSE)))</f>
        <v>7.16</v>
      </c>
      <c r="H22" s="319">
        <f ca="1">IF(H$5="","",HLOOKUP(コード表!$J$108,地域分析BD!$C$68:$N$93,16,FALSE))</f>
        <v>14.4</v>
      </c>
      <c r="I22" s="319">
        <f ca="1">HLOOKUP(コード表!$K$108,地域分析BD!$C$68:$N$93,16,FALSE)</f>
        <v>14.6</v>
      </c>
      <c r="J22" s="319">
        <f ca="1">IF(J$5="","",IF(J$5="H23","-",HLOOKUP(コード表!J$108,地域分析BD!$C$100:$N$125,16,FALSE)))</f>
        <v>0.94277483395709771</v>
      </c>
      <c r="K22" s="319">
        <f ca="1">IF(K$5="","",IF(K$5="H23","-",HLOOKUP(コード表!K$108,地域分析BD!$C$100:$N$125,16,FALSE)))</f>
        <v>1.0318670159232848</v>
      </c>
      <c r="L22" s="72"/>
    </row>
    <row r="23" spans="1:12" ht="16.5" customHeight="1">
      <c r="A23" s="18"/>
      <c r="B23" s="62" t="s">
        <v>65</v>
      </c>
      <c r="C23" s="313">
        <f ca="1">IF(C$5="","",HLOOKUP(コード表!$I$108,地域分析BD!$C$4:$N$31,17,FALSE))</f>
        <v>196715</v>
      </c>
      <c r="D23" s="313">
        <f ca="1">IF(D$5="","",HLOOKUP(コード表!$J$108,地域分析BD!$C$4:$N$31,17,FALSE))</f>
        <v>201247</v>
      </c>
      <c r="E23" s="313">
        <f ca="1">HLOOKUP(コード表!$K$108,地域分析BD!$C$4:$N$31,17,FALSE)</f>
        <v>204666</v>
      </c>
      <c r="F23" s="319">
        <f ca="1">IF(F$5="","",IF(F$5="H23","-",HLOOKUP(コード表!J$108,地域分析BD!$C$36:$N$63,17,FALSE)))</f>
        <v>2.3039999999999998</v>
      </c>
      <c r="G23" s="319">
        <f ca="1">IF(G$5="","",IF(G$5="H23","-",HLOOKUP(コード表!K$108,地域分析BD!$C$36:$N$63,17,FALSE)))</f>
        <v>1.6990000000000001</v>
      </c>
      <c r="H23" s="319">
        <f ca="1">IF(H$5="","",HLOOKUP(コード表!$J$108,地域分析BD!$C$68:$N$93,17,FALSE))</f>
        <v>15.2</v>
      </c>
      <c r="I23" s="319">
        <f ca="1">HLOOKUP(コード表!$K$108,地域分析BD!$C$68:$N$93,17,FALSE)</f>
        <v>14.7</v>
      </c>
      <c r="J23" s="319">
        <f ca="1">IF(J$5="","",IF(J$5="H23","-",HLOOKUP(コード表!J$108,地域分析BD!$C$100:$N$125,17,FALSE)))</f>
        <v>0.36095763685845794</v>
      </c>
      <c r="K23" s="319">
        <f ca="1">IF(K$5="","",IF(K$5="H23","-",HLOOKUP(コード表!K$108,地域分析BD!$C$100:$N$125,17,FALSE)))</f>
        <v>0.25891335149285999</v>
      </c>
      <c r="L23" s="72"/>
    </row>
    <row r="24" spans="1:12" ht="16.5" customHeight="1">
      <c r="A24" s="18"/>
      <c r="B24" s="62" t="s">
        <v>66</v>
      </c>
      <c r="C24" s="313">
        <f ca="1">IF(C$5="","",HLOOKUP(コード表!$I$108,地域分析BD!$C$4:$N$31,18,FALSE))</f>
        <v>42406</v>
      </c>
      <c r="D24" s="313">
        <f ca="1">IF(D$5="","",HLOOKUP(コード表!$J$108,地域分析BD!$C$4:$N$31,18,FALSE))</f>
        <v>44004</v>
      </c>
      <c r="E24" s="313">
        <f ca="1">HLOOKUP(コード表!$K$108,地域分析BD!$C$4:$N$31,18,FALSE)</f>
        <v>45504</v>
      </c>
      <c r="F24" s="319">
        <f ca="1">IF(F$5="","",IF(F$5="H23","-",HLOOKUP(コード表!J$108,地域分析BD!$C$36:$N$63,18,FALSE)))</f>
        <v>3.7679999999999998</v>
      </c>
      <c r="G24" s="319">
        <f ca="1">IF(G$5="","",IF(G$5="H23","-",HLOOKUP(コード表!K$108,地域分析BD!$C$36:$N$63,18,FALSE)))</f>
        <v>3.4089999999999998</v>
      </c>
      <c r="H24" s="319">
        <f ca="1">IF(H$5="","",HLOOKUP(コード表!$J$108,地域分析BD!$C$68:$N$93,18,FALSE))</f>
        <v>3.3</v>
      </c>
      <c r="I24" s="319">
        <f ca="1">HLOOKUP(コード表!$K$108,地域分析BD!$C$68:$N$93,18,FALSE)</f>
        <v>3.3</v>
      </c>
      <c r="J24" s="319">
        <f ca="1">IF(J$5="","",IF(J$5="H23","-",HLOOKUP(コード表!J$108,地域分析BD!$C$100:$N$125,18,FALSE)))</f>
        <v>0.12727500081637594</v>
      </c>
      <c r="K24" s="319">
        <f ca="1">IF(K$5="","",IF(K$5="H23","-",HLOOKUP(コード表!K$108,地域分析BD!$C$100:$N$125,18,FALSE)))</f>
        <v>0.11359170144465926</v>
      </c>
      <c r="L24" s="72"/>
    </row>
    <row r="25" spans="1:12" ht="16.5" customHeight="1">
      <c r="A25" s="18"/>
      <c r="B25" s="62" t="s">
        <v>67</v>
      </c>
      <c r="C25" s="313">
        <f ca="1">IF(C$5="","",HLOOKUP(コード表!$I$108,地域分析BD!$C$4:$N$31,19,FALSE))</f>
        <v>122698</v>
      </c>
      <c r="D25" s="313">
        <f ca="1">IF(D$5="","",HLOOKUP(コード表!$J$108,地域分析BD!$C$4:$N$31,19,FALSE))</f>
        <v>128575</v>
      </c>
      <c r="E25" s="313">
        <f ca="1">HLOOKUP(コード表!$K$108,地域分析BD!$C$4:$N$31,19,FALSE)</f>
        <v>131767</v>
      </c>
      <c r="F25" s="319">
        <f ca="1">IF(F$5="","",IF(F$5="H23","-",HLOOKUP(コード表!J$108,地域分析BD!$C$36:$N$63,19,FALSE)))</f>
        <v>4.79</v>
      </c>
      <c r="G25" s="319">
        <f ca="1">IF(G$5="","",IF(G$5="H23","-",HLOOKUP(コード表!K$108,地域分析BD!$C$36:$N$63,19,FALSE)))</f>
        <v>2.4830000000000001</v>
      </c>
      <c r="H25" s="319">
        <f ca="1">IF(H$5="","",HLOOKUP(コード表!$J$108,地域分析BD!$C$68:$N$93,19,FALSE))</f>
        <v>9.6999999999999993</v>
      </c>
      <c r="I25" s="319">
        <f ca="1">HLOOKUP(コード表!$K$108,地域分析BD!$C$68:$N$93,19,FALSE)</f>
        <v>9.5</v>
      </c>
      <c r="J25" s="319">
        <f ca="1">IF(J$5="","",IF(J$5="H23","-",HLOOKUP(コード表!J$108,地域分析BD!$C$100:$N$125,19,FALSE)))</f>
        <v>0.46808208998613354</v>
      </c>
      <c r="K25" s="319">
        <f ca="1">IF(K$5="","",IF(K$5="H23","-",HLOOKUP(コード表!K$108,地域分析BD!$C$100:$N$125,19,FALSE)))</f>
        <v>0.24172314067423492</v>
      </c>
      <c r="L25" s="72"/>
    </row>
    <row r="26" spans="1:12" ht="16.5" customHeight="1">
      <c r="A26" s="20"/>
      <c r="B26" s="63" t="s">
        <v>68</v>
      </c>
      <c r="C26" s="314">
        <f ca="1">IF(C$5="","",HLOOKUP(コード表!$I$108,地域分析BD!$C$4:$N$31,20,FALSE))</f>
        <v>52822</v>
      </c>
      <c r="D26" s="314">
        <f ca="1">IF(D$5="","",HLOOKUP(コード表!$J$108,地域分析BD!$C$4:$N$31,20,FALSE))</f>
        <v>57265</v>
      </c>
      <c r="E26" s="314">
        <f ca="1">HLOOKUP(コード表!$K$108,地域分析BD!$C$4:$N$31,20,FALSE)</f>
        <v>60603</v>
      </c>
      <c r="F26" s="320">
        <f ca="1">IF(F$5="","",IF(F$5="H23","-",HLOOKUP(コード表!J$108,地域分析BD!$C$36:$N$63,20,FALSE)))</f>
        <v>8.4109999999999996</v>
      </c>
      <c r="G26" s="320">
        <f ca="1">IF(G$5="","",IF(G$5="H23","-",HLOOKUP(コード表!K$108,地域分析BD!$C$36:$N$63,20,FALSE)))</f>
        <v>5.8289999999999997</v>
      </c>
      <c r="H26" s="320">
        <f ca="1">IF(H$5="","",HLOOKUP(コード表!$J$108,地域分析BD!$C$68:$N$93,20,FALSE))</f>
        <v>4.3</v>
      </c>
      <c r="I26" s="320">
        <f ca="1">HLOOKUP(コード表!$K$108,地域分析BD!$C$68:$N$93,20,FALSE)</f>
        <v>4.3</v>
      </c>
      <c r="J26" s="320">
        <f ca="1">IF(J$5="","",IF(J$5="H23","-",HLOOKUP(コード表!J$108,地域分析BD!$C$100:$N$125,20,FALSE)))</f>
        <v>0.35386910427231433</v>
      </c>
      <c r="K26" s="320">
        <f ca="1">IF(K$5="","",IF(K$5="H23","-",HLOOKUP(コード表!K$108,地域分析BD!$C$100:$N$125,20,FALSE)))</f>
        <v>0.25277939961484841</v>
      </c>
      <c r="L26" s="72"/>
    </row>
    <row r="27" spans="1:12" ht="16.5" customHeight="1">
      <c r="A27" s="263">
        <v>4</v>
      </c>
      <c r="B27" s="264" t="s">
        <v>99</v>
      </c>
      <c r="C27" s="315">
        <f ca="1">IF(C$5="","",HLOOKUP(コード表!$I$108,地域分析BD!$C$4:$N$31,21,FALSE))</f>
        <v>1264246</v>
      </c>
      <c r="D27" s="315">
        <f ca="1">IF(D$5="","",HLOOKUP(コード表!$J$108,地域分析BD!$C$4:$N$31,21,FALSE))</f>
        <v>1330933</v>
      </c>
      <c r="E27" s="315">
        <f ca="1">HLOOKUP(コード表!$K$108,地域分析BD!$C$4:$N$31,21,FALSE)</f>
        <v>1403478</v>
      </c>
      <c r="F27" s="321">
        <f ca="1">IF(F$5="","",IF(F$5="H23","-",HLOOKUP(コード表!J$108,地域分析BD!$C$36:$N$63,21,FALSE)))</f>
        <v>5.2750000000000004</v>
      </c>
      <c r="G27" s="321">
        <f ca="1">IF(G$5="","",IF(G$5="H23","-",HLOOKUP(コード表!K$108,地域分析BD!$C$36:$N$63,21,FALSE)))</f>
        <v>5.4509999999999996</v>
      </c>
      <c r="H27" s="321">
        <f ca="1">IF(H$5="","",HLOOKUP(コード表!$J$108,地域分析BD!$C$68:$N$93,21,FALSE))</f>
        <v>100.8</v>
      </c>
      <c r="I27" s="321">
        <f ca="1">HLOOKUP(コード表!$K$108,地域分析BD!$C$68:$N$93,21,FALSE)</f>
        <v>100.7</v>
      </c>
      <c r="J27" s="321">
        <f ca="1">IF(J$5="","",IF(J$5="H23","-",HLOOKUP(コード表!J$108,地域分析BD!$C$100:$N$125,21,FALSE)))</f>
        <v>5.3113817142939066</v>
      </c>
      <c r="K27" s="321">
        <f ca="1">IF(K$5="","",IF(K$5="H23","-",HLOOKUP(コード表!K$108,地域分析BD!$C$100:$N$125,21,FALSE)))</f>
        <v>5.4936733208685373</v>
      </c>
      <c r="L27" s="72"/>
    </row>
    <row r="28" spans="1:12" ht="16.5" customHeight="1" thickBot="1">
      <c r="A28" s="257">
        <v>5</v>
      </c>
      <c r="B28" s="258" t="s">
        <v>100</v>
      </c>
      <c r="C28" s="316">
        <f ca="1">IF(C$5="","",HLOOKUP(コード表!$I$108,地域分析BD!$C$4:$N$31,22,FALSE))</f>
        <v>-8697</v>
      </c>
      <c r="D28" s="316">
        <f ca="1">IF(D$5="","",HLOOKUP(コード表!$J$108,地域分析BD!$C$4:$N$31,22,FALSE))</f>
        <v>-10414</v>
      </c>
      <c r="E28" s="316">
        <f ca="1">HLOOKUP(コード表!$K$108,地域分析BD!$C$4:$N$31,22,FALSE)</f>
        <v>-9602</v>
      </c>
      <c r="F28" s="322">
        <f ca="1">IF(F$5="","",IF(F$5="H23","-",HLOOKUP(コード表!J$108,地域分析BD!$C$36:$N$63,22,FALSE)))</f>
        <v>-19.742000000000001</v>
      </c>
      <c r="G28" s="322">
        <f ca="1">IF(G$5="","",IF(G$5="H23","-",HLOOKUP(コード表!K$108,地域分析BD!$C$36:$N$63,22,FALSE)))</f>
        <v>7.7969999999999997</v>
      </c>
      <c r="H28" s="322">
        <f ca="1">IF(H$5="","",HLOOKUP(コード表!$J$108,地域分析BD!$C$68:$N$93,22,FALSE))</f>
        <v>-0.8</v>
      </c>
      <c r="I28" s="322">
        <f ca="1">HLOOKUP(コード表!$K$108,地域分析BD!$C$68:$N$93,22,FALSE)</f>
        <v>-0.7</v>
      </c>
      <c r="J28" s="322">
        <f ca="1">IF(J$5="","",IF(J$5="H23","-",HLOOKUP(コード表!J$108,地域分析BD!$C$100:$N$125,22,FALSE)))</f>
        <v>-0.13675292640908479</v>
      </c>
      <c r="K28" s="322">
        <f ca="1">IF(K$5="","",IF(K$5="H23","-",HLOOKUP(コード表!K$108,地域分析BD!$C$100:$N$125,22,FALSE)))</f>
        <v>6.1490974382042207E-2</v>
      </c>
      <c r="L28" s="72"/>
    </row>
    <row r="29" spans="1:12" ht="16.5" customHeight="1" thickTop="1">
      <c r="A29" s="338">
        <v>6</v>
      </c>
      <c r="B29" s="339" t="s">
        <v>101</v>
      </c>
      <c r="C29" s="340">
        <f ca="1">IF(C$5="","",HLOOKUP(コード表!$I$108,地域分析BD!$C$4:$N$31,23,FALSE))</f>
        <v>1255549</v>
      </c>
      <c r="D29" s="340">
        <f ca="1">IF(D$5="","",HLOOKUP(コード表!$J$108,地域分析BD!$C$4:$N$31,23,FALSE))</f>
        <v>1320519</v>
      </c>
      <c r="E29" s="340">
        <f ca="1">HLOOKUP(コード表!$K$108,地域分析BD!$C$4:$N$31,23,FALSE)</f>
        <v>1393876</v>
      </c>
      <c r="F29" s="341">
        <f ca="1">IF(F$5="","",IF(F$5="H23","-",HLOOKUP(コード表!J$108,地域分析BD!$C$36:$N$63,23,FALSE)))</f>
        <v>5.1749999999999998</v>
      </c>
      <c r="G29" s="341">
        <f ca="1">IF(G$5="","",IF(G$5="H23","-",HLOOKUP(コード表!K$108,地域分析BD!$C$36:$N$63,23,FALSE)))</f>
        <v>5.5549999999999997</v>
      </c>
      <c r="H29" s="341">
        <f ca="1">IF(H$5="","",HLOOKUP(コード表!$J$108,地域分析BD!$C$68:$N$93,23,FALSE))</f>
        <v>100</v>
      </c>
      <c r="I29" s="341">
        <f ca="1">HLOOKUP(コード表!$K$108,地域分析BD!$C$68:$N$93,23,FALSE)</f>
        <v>100</v>
      </c>
      <c r="J29" s="341">
        <f ca="1">IF(J$5="","",IF(J$5="H23","-",HLOOKUP(コード表!J$108,地域分析BD!$C$100:$N$125,23,FALSE)))</f>
        <v>5.1746287878848216</v>
      </c>
      <c r="K29" s="341">
        <f ca="1">IF(K$5="","",IF(K$5="H23","-",HLOOKUP(コード表!K$108,地域分析BD!$C$100:$N$125,23,FALSE)))</f>
        <v>5.5551642952505791</v>
      </c>
      <c r="L29" s="72"/>
    </row>
    <row r="30" spans="1:12" ht="16.5" customHeight="1">
      <c r="A30" s="342"/>
      <c r="B30" s="343" t="s">
        <v>291</v>
      </c>
      <c r="C30" s="312">
        <f ca="1">IF(C$5="","",HLOOKUP(コード表!I$108,地域分析BD!$C$4:$N$31,28,FALSE))</f>
        <v>1224992.3331017012</v>
      </c>
      <c r="D30" s="312">
        <f ca="1">IF(D$5="","",HLOOKUP(コード表!J$108,地域分析BD!$C$4:$N$31,28,FALSE))</f>
        <v>1282176.6906529935</v>
      </c>
      <c r="E30" s="312">
        <f ca="1">IF(E$5="","",HLOOKUP(コード表!K$108,地域分析BD!$C$4:$N$31,28,FALSE))</f>
        <v>1334195.0796537655</v>
      </c>
      <c r="F30" s="318">
        <f ca="1">IF(F$5="","",IF(F$5="H23","-",HLOOKUP(コード表!J$108,地域分析BD!$C$36:$N$63,27,FALSE)))</f>
        <v>4.093</v>
      </c>
      <c r="G30" s="318">
        <f ca="1">IF(G$5="","",IF(G$5="H23","-",HLOOKUP(コード表!K$108,地域分析BD!$C$36:$N$63,27,FALSE)))</f>
        <v>6.2770000000000001</v>
      </c>
      <c r="H30" s="323"/>
      <c r="I30" s="323"/>
      <c r="J30" s="323"/>
      <c r="K30" s="337"/>
      <c r="L30" s="72"/>
    </row>
    <row r="31" spans="1:12" ht="16.5" customHeight="1">
      <c r="A31" s="342"/>
      <c r="B31" s="343" t="s">
        <v>292</v>
      </c>
      <c r="C31" s="312">
        <f ca="1">IF(C$5="","",HLOOKUP(コード表!I$108,地域分析BD!$C$4:$N$31,27,FALSE))</f>
        <v>6474</v>
      </c>
      <c r="D31" s="312">
        <f ca="1">IF(D$5="","",HLOOKUP(コード表!J$108,地域分析BD!$C$4:$N$31,27,FALSE))</f>
        <v>6739</v>
      </c>
      <c r="E31" s="312">
        <f ca="1">IF(E$5="","",HLOOKUP(コード表!K$108,地域分析BD!$C$4:$N$31,27,FALSE))</f>
        <v>7162</v>
      </c>
      <c r="F31" s="318">
        <f ca="1">IF(F$5="","",IF(F$5="H23","-",HLOOKUP(コード表!J$108,地域分析BD!$C$36:$N$63,28,FALSE)))</f>
        <v>4.6680000000000001</v>
      </c>
      <c r="G31" s="318">
        <f ca="1">IF(G$5="","",IF(G$5="H23","-",HLOOKUP(コード表!K$108,地域分析BD!$C$36:$N$63,28,FALSE)))</f>
        <v>4.0570000000000004</v>
      </c>
      <c r="H31" s="323"/>
      <c r="I31" s="323"/>
      <c r="J31" s="323"/>
      <c r="K31" s="323"/>
      <c r="L31" s="72"/>
    </row>
    <row r="32" spans="1:12" ht="16.5" customHeight="1">
      <c r="A32" s="16"/>
      <c r="B32" s="61" t="s">
        <v>293</v>
      </c>
      <c r="C32" s="313">
        <f ca="1">IF(C$5="","",HLOOKUP(コード表!I$108,地域分析BD!$C$132:$N$159,27,FALSE))</f>
        <v>5733</v>
      </c>
      <c r="D32" s="313">
        <f ca="1">IF(D$5="","",HLOOKUP(コード表!J$108,地域分析BD!$C$132:$N$159,27,FALSE))</f>
        <v>5913</v>
      </c>
      <c r="E32" s="313">
        <f ca="1">IF(E$5="","",HLOOKUP(コード表!K$108,地域分析BD!$C$132:$N$159,27,FALSE))</f>
        <v>6088</v>
      </c>
      <c r="F32" s="319">
        <f ca="1">IF(F$5="","",IF(F$5="H23","-",HLOOKUP(コード表!J$108,地域分析BD!$C$176:$N$203,27,FALSE)))</f>
        <v>3.14</v>
      </c>
      <c r="G32" s="319">
        <f ca="1">IF(G$5="","",IF(G$5="H23","-",HLOOKUP(コード表!K$108,地域分析BD!$C$176:$N$203,27,FALSE)))</f>
        <v>2.96</v>
      </c>
      <c r="H32" s="323"/>
      <c r="I32" s="323"/>
      <c r="J32" s="323"/>
      <c r="K32" s="323"/>
      <c r="L32" s="72"/>
    </row>
    <row r="33" spans="1:12" ht="16.5" customHeight="1">
      <c r="A33" s="165"/>
      <c r="B33" s="305" t="s">
        <v>294</v>
      </c>
      <c r="C33" s="320">
        <f ca="1">IF(C$5="","",C$31/C$32*100)</f>
        <v>112.9251700680272</v>
      </c>
      <c r="D33" s="320">
        <f t="shared" ref="D33:E33" ca="1" si="0">IF(D$5="","",D$31/D$32*100)</f>
        <v>113.96922036191444</v>
      </c>
      <c r="E33" s="320">
        <f t="shared" ca="1" si="0"/>
        <v>117.64126149802891</v>
      </c>
      <c r="F33" s="320" t="s">
        <v>295</v>
      </c>
      <c r="G33" s="320" t="s">
        <v>295</v>
      </c>
      <c r="H33" s="323"/>
      <c r="I33" s="323"/>
      <c r="J33" s="323"/>
      <c r="K33" s="323"/>
      <c r="L33" s="72"/>
    </row>
    <row r="34" spans="1:12" ht="16.5" customHeight="1">
      <c r="A34" s="336"/>
      <c r="B34" s="70"/>
      <c r="C34" s="323"/>
      <c r="D34" s="323"/>
      <c r="E34" s="323"/>
      <c r="F34" s="323"/>
      <c r="G34" s="323"/>
      <c r="H34" s="323"/>
      <c r="I34" s="323"/>
      <c r="J34" s="323"/>
      <c r="K34" s="323"/>
      <c r="L34" s="72"/>
    </row>
    <row r="35" spans="1:12" ht="16.5" customHeight="1">
      <c r="A35" s="66"/>
      <c r="B35" s="67"/>
      <c r="C35" s="59"/>
      <c r="D35" s="59"/>
      <c r="E35" s="59"/>
      <c r="F35" s="59"/>
      <c r="G35" s="59"/>
      <c r="H35" s="59"/>
      <c r="I35" s="59"/>
      <c r="J35" s="59"/>
      <c r="K35" s="59"/>
    </row>
    <row r="36" spans="1:12" ht="16.5" customHeight="1">
      <c r="A36" s="66"/>
      <c r="B36" s="67"/>
      <c r="C36" s="59"/>
      <c r="D36" s="59"/>
      <c r="E36" s="59"/>
      <c r="F36" s="59"/>
      <c r="G36" s="59"/>
      <c r="H36" s="59"/>
      <c r="I36" s="59"/>
      <c r="J36" s="59"/>
      <c r="K36" s="59"/>
    </row>
    <row r="37" spans="1:12" ht="16.5" customHeight="1">
      <c r="A37" s="66"/>
      <c r="B37" s="67"/>
      <c r="C37" s="59"/>
      <c r="D37" s="59"/>
      <c r="E37" s="59"/>
      <c r="F37" s="59"/>
      <c r="G37" s="59"/>
      <c r="H37" s="59"/>
      <c r="I37" s="59"/>
      <c r="J37" s="59"/>
      <c r="K37" s="59"/>
    </row>
    <row r="38" spans="1:12" ht="16.5" customHeight="1">
      <c r="A38" s="66"/>
      <c r="B38" s="67"/>
      <c r="C38" s="59"/>
      <c r="D38" s="59"/>
      <c r="E38" s="59"/>
      <c r="F38" s="59"/>
      <c r="G38" s="59"/>
      <c r="H38" s="59"/>
      <c r="I38" s="59"/>
      <c r="J38" s="59"/>
      <c r="K38" s="59"/>
    </row>
    <row r="39" spans="1:12" ht="16.5" customHeight="1">
      <c r="A39" s="66"/>
      <c r="B39" s="67"/>
      <c r="C39" s="59"/>
      <c r="D39" s="59"/>
      <c r="E39" s="59"/>
      <c r="F39" s="59"/>
      <c r="G39" s="59"/>
      <c r="H39" s="59"/>
      <c r="I39" s="59"/>
      <c r="J39" s="59"/>
      <c r="K39" s="59"/>
    </row>
    <row r="40" spans="1:12" ht="16.5" customHeight="1">
      <c r="A40" s="66"/>
      <c r="B40" s="67"/>
      <c r="C40" s="59"/>
      <c r="D40" s="59"/>
      <c r="E40" s="59"/>
      <c r="F40" s="59"/>
      <c r="G40" s="59"/>
      <c r="H40" s="59"/>
      <c r="I40" s="59"/>
      <c r="J40" s="59"/>
      <c r="K40" s="59"/>
    </row>
    <row r="41" spans="1:12" ht="16.5" customHeight="1">
      <c r="A41" s="66"/>
      <c r="B41" s="67"/>
      <c r="C41" s="59"/>
      <c r="D41" s="59"/>
      <c r="E41" s="59"/>
      <c r="F41" s="59"/>
      <c r="G41" s="59"/>
      <c r="H41" s="59"/>
      <c r="I41" s="59"/>
      <c r="J41" s="59"/>
      <c r="K41" s="59"/>
    </row>
    <row r="42" spans="1:12" ht="16.5" customHeight="1">
      <c r="A42" s="66"/>
      <c r="B42" s="67"/>
      <c r="C42" s="59"/>
      <c r="D42" s="59"/>
      <c r="E42" s="59"/>
      <c r="F42" s="59"/>
      <c r="G42" s="59"/>
      <c r="H42" s="59"/>
      <c r="I42" s="59"/>
      <c r="J42" s="59"/>
      <c r="K42" s="59"/>
    </row>
    <row r="43" spans="1:12" ht="16.5" customHeight="1">
      <c r="A43" s="66"/>
      <c r="B43" s="67"/>
      <c r="C43" s="59"/>
      <c r="D43" s="59"/>
      <c r="E43" s="59"/>
      <c r="F43" s="59"/>
      <c r="G43" s="59"/>
      <c r="H43" s="59"/>
      <c r="I43" s="59"/>
      <c r="J43" s="59"/>
      <c r="K43" s="59"/>
    </row>
    <row r="44" spans="1:12" ht="16.5" customHeight="1">
      <c r="A44" s="66"/>
      <c r="B44" s="67"/>
      <c r="C44" s="59"/>
      <c r="D44" s="59"/>
      <c r="E44" s="59"/>
      <c r="F44" s="59"/>
      <c r="G44" s="59"/>
      <c r="H44" s="59"/>
      <c r="I44" s="59"/>
      <c r="J44" s="59"/>
      <c r="K44" s="59"/>
    </row>
    <row r="45" spans="1:12" ht="16.5" customHeight="1">
      <c r="A45" s="66"/>
      <c r="B45" s="67"/>
      <c r="C45" s="59"/>
      <c r="D45" s="59"/>
      <c r="E45" s="59"/>
      <c r="F45" s="59"/>
      <c r="G45" s="59"/>
      <c r="H45" s="59"/>
      <c r="I45" s="59"/>
      <c r="J45" s="59"/>
      <c r="K45" s="59"/>
    </row>
    <row r="46" spans="1:12" ht="16.5" customHeight="1">
      <c r="A46" s="66"/>
      <c r="B46" s="67"/>
      <c r="C46" s="59"/>
      <c r="D46" s="59"/>
      <c r="E46" s="59"/>
      <c r="F46" s="59"/>
      <c r="G46" s="59"/>
      <c r="H46" s="59"/>
      <c r="I46" s="59"/>
      <c r="J46" s="59"/>
      <c r="K46" s="59"/>
    </row>
    <row r="47" spans="1:12" ht="16.5" customHeight="1">
      <c r="A47" s="66"/>
      <c r="B47" s="67"/>
      <c r="C47" s="59"/>
      <c r="D47" s="59"/>
      <c r="E47" s="59"/>
      <c r="F47" s="59"/>
      <c r="G47" s="59"/>
      <c r="H47" s="59"/>
      <c r="I47" s="59"/>
      <c r="J47" s="59"/>
      <c r="K47" s="59"/>
    </row>
    <row r="48" spans="1:12" ht="16.5" customHeight="1">
      <c r="A48" s="66"/>
      <c r="B48" s="67"/>
      <c r="C48" s="59"/>
      <c r="D48" s="59"/>
      <c r="E48" s="59"/>
      <c r="F48" s="59"/>
      <c r="G48" s="59"/>
      <c r="H48" s="59"/>
      <c r="I48" s="59"/>
      <c r="J48" s="59"/>
      <c r="K48" s="59"/>
    </row>
    <row r="49" spans="1:11" ht="16.5" customHeight="1">
      <c r="A49" s="66"/>
      <c r="B49" s="67"/>
      <c r="C49" s="64"/>
      <c r="D49" s="64"/>
      <c r="E49" s="64"/>
      <c r="F49" s="64"/>
      <c r="G49" s="64"/>
      <c r="H49" s="64"/>
      <c r="I49" s="64"/>
      <c r="J49" s="64"/>
      <c r="K49" s="64"/>
    </row>
    <row r="50" spans="1:11" ht="16.5" customHeight="1">
      <c r="A50" s="66"/>
      <c r="B50" s="67"/>
      <c r="C50" s="64"/>
      <c r="D50" s="64"/>
      <c r="E50" s="64"/>
      <c r="F50" s="64"/>
      <c r="G50" s="64"/>
      <c r="H50" s="64"/>
      <c r="I50" s="64"/>
      <c r="J50" s="64"/>
      <c r="K50" s="64"/>
    </row>
    <row r="51" spans="1:11" ht="16.5" customHeight="1">
      <c r="A51" s="66"/>
      <c r="B51" s="67"/>
      <c r="C51" s="59"/>
      <c r="D51" s="59"/>
      <c r="E51" s="59"/>
      <c r="F51" s="59"/>
      <c r="G51" s="59"/>
      <c r="H51" s="59"/>
      <c r="I51" s="59"/>
      <c r="J51" s="59"/>
      <c r="K51" s="59"/>
    </row>
    <row r="52" spans="1:11" ht="16.5" customHeight="1">
      <c r="A52" s="66"/>
      <c r="B52" s="67"/>
      <c r="C52" s="59"/>
      <c r="D52" s="59"/>
      <c r="E52" s="59"/>
      <c r="F52" s="59"/>
      <c r="G52" s="59"/>
      <c r="H52" s="59"/>
      <c r="I52" s="59"/>
      <c r="J52" s="59"/>
      <c r="K52" s="59"/>
    </row>
    <row r="53" spans="1:11" ht="16.5" customHeight="1">
      <c r="A53" s="68"/>
      <c r="B53" s="68"/>
      <c r="C53" s="65"/>
      <c r="D53" s="65"/>
      <c r="E53" s="65"/>
      <c r="F53" s="65"/>
      <c r="G53" s="65"/>
      <c r="H53" s="65"/>
      <c r="I53" s="65"/>
      <c r="J53" s="65"/>
      <c r="K53" s="65"/>
    </row>
    <row r="54" spans="1:11" ht="16.5" customHeight="1">
      <c r="A54" s="69"/>
      <c r="B54" s="70"/>
      <c r="C54" s="60"/>
      <c r="D54" s="60"/>
      <c r="E54" s="60"/>
      <c r="F54" s="60"/>
      <c r="G54" s="60"/>
      <c r="H54" s="60"/>
      <c r="I54" s="60"/>
      <c r="J54" s="60"/>
      <c r="K54" s="60"/>
    </row>
    <row r="55" spans="1:11" ht="16.5" customHeight="1">
      <c r="A55" s="69"/>
      <c r="B55" s="70"/>
      <c r="C55" s="60"/>
      <c r="D55" s="60"/>
    </row>
    <row r="56" spans="1:11" ht="16.5" customHeight="1">
      <c r="A56" s="69"/>
      <c r="B56" s="70"/>
      <c r="C56" s="60"/>
      <c r="D56" s="60"/>
    </row>
    <row r="57" spans="1:11" ht="16.5" customHeight="1">
      <c r="A57" s="69"/>
      <c r="B57" s="70"/>
      <c r="C57" s="60"/>
      <c r="D57" s="60"/>
    </row>
    <row r="58" spans="1:11" ht="16.5" customHeight="1">
      <c r="A58" s="69"/>
      <c r="B58" s="70"/>
      <c r="C58" s="60"/>
      <c r="D58" s="60"/>
    </row>
    <row r="59" spans="1:11" ht="16.5" customHeight="1">
      <c r="C59" s="26"/>
      <c r="D59" s="26"/>
    </row>
    <row r="64" spans="1:11" ht="16.5" customHeight="1">
      <c r="E64" s="24" t="s">
        <v>117</v>
      </c>
    </row>
  </sheetData>
  <mergeCells count="4">
    <mergeCell ref="C4:E4"/>
    <mergeCell ref="F4:G4"/>
    <mergeCell ref="H4:I4"/>
    <mergeCell ref="J4:K4"/>
  </mergeCells>
  <phoneticPr fontId="3"/>
  <conditionalFormatting sqref="C5:D33">
    <cfRule type="containsBlanks" dxfId="3" priority="1">
      <formula>LEN(TRIM(C5))=0</formula>
    </cfRule>
  </conditionalFormatting>
  <conditionalFormatting sqref="F5:F32">
    <cfRule type="containsBlanks" dxfId="2" priority="6">
      <formula>LEN(TRIM(F5))=0</formula>
    </cfRule>
  </conditionalFormatting>
  <conditionalFormatting sqref="H5:H29">
    <cfRule type="containsBlanks" dxfId="1" priority="5">
      <formula>LEN(TRIM(H5))=0</formula>
    </cfRule>
  </conditionalFormatting>
  <conditionalFormatting sqref="J5:J29">
    <cfRule type="containsBlanks" dxfId="0" priority="4">
      <formula>LEN(TRIM(J5))=0</formula>
    </cfRule>
  </conditionalFormatting>
  <pageMargins left="0.78740157480314965" right="0.70866141732283472" top="0.74803149606299213" bottom="0.74803149606299213" header="0.31496062992125984" footer="0.31496062992125984"/>
  <pageSetup paperSize="9" scale="48" orientation="portrait" r:id="rId1"/>
  <ignoredErrors>
    <ignoredError sqref="G5 I5 H5 J5:K5" formula="1"/>
    <ignoredError sqref="I26 C6:E6 H6 C7:E7 H7 C8:E8 H8 C9:E9 H9 C10:E10 H10 C11:E11 H11 C12:E12 H12 C13:E13 H13 C14:E14 H14 C15:E15 H15 C16:E16 H16 C17:E17 H17 C18:E18 H18 C19:E19 H19 C20:E20 H20 C21:E21 H21 C22:E22 H22 C23:E23 H23 C24:E24 H24 C25:E25 H25 C26:E26 H26 C27:E27 H27 C28:E28 H28 C29:E29 H29 H30 I6:J6 I7 I8 I9 I10 I11 I12 I13 I14 I15 I16 I17 I18 I19 I20 I21 I22 I23 I24 I25 I29 I27 I28 C32:E32 C31:E31 C30:E30 C33:E33 F6:F14 F15:F29 G6:G32 F30:F32 J7:K29 K6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コード表!$B$108:$B$155</xm:f>
          </x14:formula1>
          <xm:sqref>B2</xm:sqref>
        </x14:dataValidation>
        <x14:dataValidation type="list" allowBlank="1" showInputMessage="1" showErrorMessage="1" xr:uid="{00000000-0002-0000-0100-000001000000}">
          <x14:formula1>
            <xm:f>コード表!$F$108:$F$119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C235"/>
  <sheetViews>
    <sheetView showGridLines="0" view="pageBreakPreview" zoomScale="85" zoomScaleNormal="90" zoomScaleSheetLayoutView="85" workbookViewId="0">
      <pane xSplit="2" ySplit="5" topLeftCell="C96" activePane="bottomRight" state="frozen"/>
      <selection pane="topRight" activeCell="C1" sqref="C1"/>
      <selection pane="bottomLeft" activeCell="A7" sqref="A7"/>
      <selection pane="bottomRight" activeCell="R31" sqref="R31"/>
    </sheetView>
  </sheetViews>
  <sheetFormatPr defaultColWidth="9" defaultRowHeight="15.75" customHeight="1"/>
  <cols>
    <col min="1" max="1" width="3.75" style="24" customWidth="1"/>
    <col min="2" max="2" width="55.25" style="24" bestFit="1" customWidth="1"/>
    <col min="3" max="14" width="12.5" style="24" customWidth="1"/>
    <col min="15" max="15" width="9" style="24"/>
    <col min="16" max="16" width="10" style="24" customWidth="1"/>
    <col min="17" max="17" width="25" style="24" customWidth="1"/>
    <col min="18" max="19" width="12.5" style="24" customWidth="1"/>
    <col min="20" max="20" width="25" style="24" customWidth="1"/>
    <col min="21" max="22" width="12.5" style="24" customWidth="1"/>
    <col min="23" max="23" width="9" style="24"/>
    <col min="24" max="29" width="12.5" style="24" customWidth="1"/>
    <col min="30" max="16384" width="9" style="24"/>
  </cols>
  <sheetData>
    <row r="1" spans="1:18" ht="16.5" customHeight="1">
      <c r="A1" s="95" t="str">
        <f ca="1">RIGHT(CELL("filename",A1),LEN(CELL("filename",A1))-FIND("]",CELL("filename",A1)))</f>
        <v>地域分析BD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8" ht="16.5" customHeight="1">
      <c r="A2" s="122" t="str">
        <f>INDEX(コード表!$B$108:$D$155,MATCH(B2,コード表!$B$108:$B$155,0),2)</f>
        <v>那　　覇</v>
      </c>
      <c r="B2" s="169" t="str">
        <f>地域分析!B2</f>
        <v>那 覇 市</v>
      </c>
      <c r="C2" s="265" t="s">
        <v>275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8" ht="16.5" customHeight="1">
      <c r="A3" s="34" t="s">
        <v>269</v>
      </c>
      <c r="B3" s="108"/>
      <c r="C3" s="109"/>
      <c r="D3" s="109"/>
      <c r="E3" s="109"/>
      <c r="F3" s="2"/>
      <c r="G3" s="2"/>
      <c r="H3" s="1"/>
      <c r="I3" s="2"/>
      <c r="J3" s="2"/>
      <c r="K3" s="2"/>
      <c r="L3" s="2"/>
      <c r="M3" s="2"/>
      <c r="N3" s="2"/>
      <c r="Q3" s="81" t="s">
        <v>118</v>
      </c>
    </row>
    <row r="4" spans="1:18" ht="16.5" customHeight="1">
      <c r="A4" s="6"/>
      <c r="B4" s="7"/>
      <c r="C4" s="8">
        <v>23</v>
      </c>
      <c r="D4" s="9">
        <f t="shared" ref="D4:L5" si="0">C4+1</f>
        <v>24</v>
      </c>
      <c r="E4" s="9">
        <f t="shared" si="0"/>
        <v>25</v>
      </c>
      <c r="F4" s="9">
        <f t="shared" si="0"/>
        <v>26</v>
      </c>
      <c r="G4" s="9">
        <f t="shared" si="0"/>
        <v>27</v>
      </c>
      <c r="H4" s="9">
        <f t="shared" si="0"/>
        <v>28</v>
      </c>
      <c r="I4" s="9">
        <f t="shared" si="0"/>
        <v>29</v>
      </c>
      <c r="J4" s="9">
        <f t="shared" si="0"/>
        <v>30</v>
      </c>
      <c r="K4" s="10">
        <v>1</v>
      </c>
      <c r="L4" s="9">
        <f t="shared" si="0"/>
        <v>2</v>
      </c>
      <c r="M4" s="9">
        <f t="shared" ref="M4:M5" si="1">L4+1</f>
        <v>3</v>
      </c>
      <c r="N4" s="9">
        <f t="shared" ref="N4:N5" si="2">M4+1</f>
        <v>4</v>
      </c>
      <c r="Q4" s="204" t="str">
        <f>"("&amp;地域分析!$E$2&amp;")"</f>
        <v>(令和４年度)</v>
      </c>
    </row>
    <row r="5" spans="1:18" ht="16.5" customHeight="1">
      <c r="A5" s="12"/>
      <c r="B5" s="13"/>
      <c r="C5" s="14">
        <v>2011</v>
      </c>
      <c r="D5" s="15">
        <f>C5+1</f>
        <v>2012</v>
      </c>
      <c r="E5" s="15">
        <f t="shared" si="0"/>
        <v>2013</v>
      </c>
      <c r="F5" s="15">
        <f t="shared" si="0"/>
        <v>2014</v>
      </c>
      <c r="G5" s="15">
        <f t="shared" si="0"/>
        <v>2015</v>
      </c>
      <c r="H5" s="15">
        <f t="shared" si="0"/>
        <v>2016</v>
      </c>
      <c r="I5" s="15">
        <f t="shared" si="0"/>
        <v>2017</v>
      </c>
      <c r="J5" s="15">
        <f t="shared" si="0"/>
        <v>2018</v>
      </c>
      <c r="K5" s="15">
        <f>J5+1</f>
        <v>2019</v>
      </c>
      <c r="L5" s="15">
        <f t="shared" ref="L5" si="3">K5+1</f>
        <v>2020</v>
      </c>
      <c r="M5" s="15">
        <f t="shared" si="1"/>
        <v>2021</v>
      </c>
      <c r="N5" s="15">
        <f t="shared" si="2"/>
        <v>2022</v>
      </c>
    </row>
    <row r="6" spans="1:18" ht="16.5" customHeight="1">
      <c r="A6" s="126" t="s">
        <v>159</v>
      </c>
      <c r="B6" s="23" t="s">
        <v>51</v>
      </c>
      <c r="C6" s="129">
        <f ca="1">INDIRECT("'"&amp;コード表!$C$3&amp;"'!"&amp;コード表!$D68&amp;コード表!C$104)</f>
        <v>321</v>
      </c>
      <c r="D6" s="49">
        <f ca="1">INDIRECT("'"&amp;コード表!$C$3&amp;"'!"&amp;コード表!$D68&amp;コード表!D$104)</f>
        <v>321</v>
      </c>
      <c r="E6" s="49">
        <f ca="1">INDIRECT("'"&amp;コード表!$C$3&amp;"'!"&amp;コード表!$D68&amp;コード表!E$104)</f>
        <v>284</v>
      </c>
      <c r="F6" s="49">
        <f ca="1">INDIRECT("'"&amp;コード表!$C$3&amp;"'!"&amp;コード表!$D68&amp;コード表!F$104)</f>
        <v>277</v>
      </c>
      <c r="G6" s="49">
        <f ca="1">INDIRECT("'"&amp;コード表!$C$3&amp;"'!"&amp;コード表!$D68&amp;コード表!G$104)</f>
        <v>253</v>
      </c>
      <c r="H6" s="49">
        <f ca="1">INDIRECT("'"&amp;コード表!$C$3&amp;"'!"&amp;コード表!$D68&amp;コード表!H$104)</f>
        <v>320</v>
      </c>
      <c r="I6" s="49">
        <f ca="1">INDIRECT("'"&amp;コード表!$C$3&amp;"'!"&amp;コード表!$D68&amp;コード表!I$104)</f>
        <v>298</v>
      </c>
      <c r="J6" s="49">
        <f ca="1">INDIRECT("'"&amp;コード表!$C$3&amp;"'!"&amp;コード表!$D68&amp;コード表!J$104)</f>
        <v>282</v>
      </c>
      <c r="K6" s="49">
        <f ca="1">INDIRECT("'"&amp;コード表!$C$3&amp;"'!"&amp;コード表!$D68&amp;コード表!K$104)</f>
        <v>311</v>
      </c>
      <c r="L6" s="49">
        <f ca="1">INDIRECT("'"&amp;コード表!$C$3&amp;"'!"&amp;コード表!$D68&amp;コード表!L$104)</f>
        <v>284</v>
      </c>
      <c r="M6" s="49">
        <f ca="1">INDIRECT("'"&amp;コード表!$C$3&amp;"'!"&amp;コード表!$D68&amp;コード表!M$104)</f>
        <v>317</v>
      </c>
      <c r="N6" s="49">
        <f ca="1">INDIRECT("'"&amp;コード表!$C$3&amp;"'!"&amp;コード表!$D68&amp;コード表!N$104)</f>
        <v>271</v>
      </c>
      <c r="Q6" s="74" t="s">
        <v>226</v>
      </c>
      <c r="R6" s="73">
        <f ca="1">地域分析!G26</f>
        <v>5.8289999999999997</v>
      </c>
    </row>
    <row r="7" spans="1:18" ht="16.5" customHeight="1">
      <c r="A7" s="126" t="s">
        <v>3</v>
      </c>
      <c r="B7" s="111" t="s">
        <v>52</v>
      </c>
      <c r="C7" s="36">
        <f ca="1">INDIRECT("'"&amp;コード表!$C$3&amp;"'!"&amp;コード表!$D69&amp;コード表!C$104)</f>
        <v>23</v>
      </c>
      <c r="D7" s="38">
        <f ca="1">INDIRECT("'"&amp;コード表!$C$3&amp;"'!"&amp;コード表!$D69&amp;コード表!D$104)</f>
        <v>23</v>
      </c>
      <c r="E7" s="38">
        <f ca="1">INDIRECT("'"&amp;コード表!$C$3&amp;"'!"&amp;コード表!$D69&amp;コード表!E$104)</f>
        <v>27</v>
      </c>
      <c r="F7" s="38">
        <f ca="1">INDIRECT("'"&amp;コード表!$C$3&amp;"'!"&amp;コード表!$D69&amp;コード表!F$104)</f>
        <v>32</v>
      </c>
      <c r="G7" s="38">
        <f ca="1">INDIRECT("'"&amp;コード表!$C$3&amp;"'!"&amp;コード表!$D69&amp;コード表!G$104)</f>
        <v>32</v>
      </c>
      <c r="H7" s="38">
        <f ca="1">INDIRECT("'"&amp;コード表!$C$3&amp;"'!"&amp;コード表!$D69&amp;コード表!H$104)</f>
        <v>35</v>
      </c>
      <c r="I7" s="38">
        <f ca="1">INDIRECT("'"&amp;コード表!$C$3&amp;"'!"&amp;コード表!$D69&amp;コード表!I$104)</f>
        <v>34</v>
      </c>
      <c r="J7" s="38">
        <f ca="1">INDIRECT("'"&amp;コード表!$C$3&amp;"'!"&amp;コード表!$D69&amp;コード表!J$104)</f>
        <v>36</v>
      </c>
      <c r="K7" s="38">
        <f ca="1">INDIRECT("'"&amp;コード表!$C$3&amp;"'!"&amp;コード表!$D69&amp;コード表!K$104)</f>
        <v>46</v>
      </c>
      <c r="L7" s="38">
        <f ca="1">INDIRECT("'"&amp;コード表!$C$3&amp;"'!"&amp;コード表!$D69&amp;コード表!L$104)</f>
        <v>52</v>
      </c>
      <c r="M7" s="38">
        <f ca="1">INDIRECT("'"&amp;コード表!$C$3&amp;"'!"&amp;コード表!$D69&amp;コード表!M$104)</f>
        <v>53</v>
      </c>
      <c r="N7" s="38">
        <f ca="1">INDIRECT("'"&amp;コード表!$C$3&amp;"'!"&amp;コード表!$D69&amp;コード表!N$104)</f>
        <v>46</v>
      </c>
      <c r="Q7" s="76" t="s">
        <v>227</v>
      </c>
      <c r="R7" s="75">
        <f ca="1">地域分析!G25</f>
        <v>2.4830000000000001</v>
      </c>
    </row>
    <row r="8" spans="1:18" ht="16.5" customHeight="1">
      <c r="A8" s="126" t="s">
        <v>5</v>
      </c>
      <c r="B8" s="111" t="s">
        <v>53</v>
      </c>
      <c r="C8" s="36">
        <f ca="1">INDIRECT("'"&amp;コード表!$C$3&amp;"'!"&amp;コード表!$D70&amp;コード表!C$104)</f>
        <v>1442</v>
      </c>
      <c r="D8" s="38">
        <f ca="1">INDIRECT("'"&amp;コード表!$C$3&amp;"'!"&amp;コード表!$D70&amp;コード表!D$104)</f>
        <v>1697</v>
      </c>
      <c r="E8" s="38">
        <f ca="1">INDIRECT("'"&amp;コード表!$C$3&amp;"'!"&amp;コード表!$D70&amp;コード表!E$104)</f>
        <v>1727</v>
      </c>
      <c r="F8" s="38">
        <f ca="1">INDIRECT("'"&amp;コード表!$C$3&amp;"'!"&amp;コード表!$D70&amp;コード表!F$104)</f>
        <v>1717</v>
      </c>
      <c r="G8" s="38">
        <f ca="1">INDIRECT("'"&amp;コード表!$C$3&amp;"'!"&amp;コード表!$D70&amp;コード表!G$104)</f>
        <v>2315</v>
      </c>
      <c r="H8" s="38">
        <f ca="1">INDIRECT("'"&amp;コード表!$C$3&amp;"'!"&amp;コード表!$D70&amp;コード表!H$104)</f>
        <v>2263</v>
      </c>
      <c r="I8" s="38">
        <f ca="1">INDIRECT("'"&amp;コード表!$C$3&amp;"'!"&amp;コード表!$D70&amp;コード表!I$104)</f>
        <v>2508</v>
      </c>
      <c r="J8" s="38">
        <f ca="1">INDIRECT("'"&amp;コード表!$C$3&amp;"'!"&amp;コード表!$D70&amp;コード表!J$104)</f>
        <v>2471</v>
      </c>
      <c r="K8" s="38">
        <f ca="1">INDIRECT("'"&amp;コード表!$C$3&amp;"'!"&amp;コード表!$D70&amp;コード表!K$104)</f>
        <v>2230</v>
      </c>
      <c r="L8" s="38">
        <f ca="1">INDIRECT("'"&amp;コード表!$C$3&amp;"'!"&amp;コード表!$D70&amp;コード表!L$104)</f>
        <v>1611</v>
      </c>
      <c r="M8" s="38">
        <f ca="1">INDIRECT("'"&amp;コード表!$C$3&amp;"'!"&amp;コード表!$D70&amp;コード表!M$104)</f>
        <v>1781</v>
      </c>
      <c r="N8" s="38">
        <f ca="1">INDIRECT("'"&amp;コード表!$C$3&amp;"'!"&amp;コード表!$D70&amp;コード表!N$104)</f>
        <v>1566</v>
      </c>
      <c r="Q8" s="78" t="s">
        <v>228</v>
      </c>
      <c r="R8" s="75">
        <f ca="1">地域分析!G24</f>
        <v>3.4089999999999998</v>
      </c>
    </row>
    <row r="9" spans="1:18" ht="16.5" customHeight="1">
      <c r="A9" s="126" t="s">
        <v>7</v>
      </c>
      <c r="B9" s="23" t="s">
        <v>54</v>
      </c>
      <c r="C9" s="36">
        <f ca="1">INDIRECT("'"&amp;コード表!$C$3&amp;"'!"&amp;コード表!$D71&amp;コード表!C$104)</f>
        <v>179</v>
      </c>
      <c r="D9" s="38">
        <f ca="1">INDIRECT("'"&amp;コード表!$C$3&amp;"'!"&amp;コード表!$D71&amp;コード表!D$104)</f>
        <v>187</v>
      </c>
      <c r="E9" s="38">
        <f ca="1">INDIRECT("'"&amp;コード表!$C$3&amp;"'!"&amp;コード表!$D71&amp;コード表!E$104)</f>
        <v>238</v>
      </c>
      <c r="F9" s="38">
        <f ca="1">INDIRECT("'"&amp;コード表!$C$3&amp;"'!"&amp;コード表!$D71&amp;コード表!F$104)</f>
        <v>288</v>
      </c>
      <c r="G9" s="38">
        <f ca="1">INDIRECT("'"&amp;コード表!$C$3&amp;"'!"&amp;コード表!$D71&amp;コード表!G$104)</f>
        <v>379</v>
      </c>
      <c r="H9" s="38">
        <f ca="1">INDIRECT("'"&amp;コード表!$C$3&amp;"'!"&amp;コード表!$D71&amp;コード表!H$104)</f>
        <v>413</v>
      </c>
      <c r="I9" s="38">
        <f ca="1">INDIRECT("'"&amp;コード表!$C$3&amp;"'!"&amp;コード表!$D71&amp;コード表!I$104)</f>
        <v>479</v>
      </c>
      <c r="J9" s="38">
        <f ca="1">INDIRECT("'"&amp;コード表!$C$3&amp;"'!"&amp;コード表!$D71&amp;コード表!J$104)</f>
        <v>519</v>
      </c>
      <c r="K9" s="38">
        <f ca="1">INDIRECT("'"&amp;コード表!$C$3&amp;"'!"&amp;コード表!$D71&amp;コード表!K$104)</f>
        <v>559</v>
      </c>
      <c r="L9" s="38">
        <f ca="1">INDIRECT("'"&amp;コード表!$C$3&amp;"'!"&amp;コード表!$D71&amp;コード表!L$104)</f>
        <v>601</v>
      </c>
      <c r="M9" s="38">
        <f ca="1">INDIRECT("'"&amp;コード表!$C$3&amp;"'!"&amp;コード表!$D71&amp;コード表!M$104)</f>
        <v>607</v>
      </c>
      <c r="N9" s="38">
        <f ca="1">INDIRECT("'"&amp;コード表!$C$3&amp;"'!"&amp;コード表!$D71&amp;コード表!N$104)</f>
        <v>743</v>
      </c>
      <c r="Q9" s="74" t="s">
        <v>229</v>
      </c>
      <c r="R9" s="73">
        <f ca="1">地域分析!G23</f>
        <v>1.6990000000000001</v>
      </c>
    </row>
    <row r="10" spans="1:18" ht="16.5" customHeight="1">
      <c r="A10" s="126" t="s">
        <v>9</v>
      </c>
      <c r="B10" s="111" t="s">
        <v>55</v>
      </c>
      <c r="C10" s="36">
        <f ca="1">INDIRECT("'"&amp;コード表!$C$3&amp;"'!"&amp;コード表!$D72&amp;コード表!C$104)</f>
        <v>14192</v>
      </c>
      <c r="D10" s="38">
        <f ca="1">INDIRECT("'"&amp;コード表!$C$3&amp;"'!"&amp;コード表!$D72&amp;コード表!D$104)</f>
        <v>13579</v>
      </c>
      <c r="E10" s="38">
        <f ca="1">INDIRECT("'"&amp;コード表!$C$3&amp;"'!"&amp;コード表!$D72&amp;コード表!E$104)</f>
        <v>13771</v>
      </c>
      <c r="F10" s="38">
        <f ca="1">INDIRECT("'"&amp;コード表!$C$3&amp;"'!"&amp;コード表!$D72&amp;コード表!F$104)</f>
        <v>13528</v>
      </c>
      <c r="G10" s="38">
        <f ca="1">INDIRECT("'"&amp;コード表!$C$3&amp;"'!"&amp;コード表!$D72&amp;コード表!G$104)</f>
        <v>12549</v>
      </c>
      <c r="H10" s="38">
        <f ca="1">INDIRECT("'"&amp;コード表!$C$3&amp;"'!"&amp;コード表!$D72&amp;コード表!H$104)</f>
        <v>9886</v>
      </c>
      <c r="I10" s="38">
        <f ca="1">INDIRECT("'"&amp;コード表!$C$3&amp;"'!"&amp;コード表!$D72&amp;コード表!I$104)</f>
        <v>13329</v>
      </c>
      <c r="J10" s="38">
        <f ca="1">INDIRECT("'"&amp;コード表!$C$3&amp;"'!"&amp;コード表!$D72&amp;コード表!J$104)</f>
        <v>13835</v>
      </c>
      <c r="K10" s="38">
        <f ca="1">INDIRECT("'"&amp;コード表!$C$3&amp;"'!"&amp;コード表!$D72&amp;コード表!K$104)</f>
        <v>11469</v>
      </c>
      <c r="L10" s="38">
        <f ca="1">INDIRECT("'"&amp;コード表!$C$3&amp;"'!"&amp;コード表!$D72&amp;コード表!L$104)</f>
        <v>14211</v>
      </c>
      <c r="M10" s="38">
        <f ca="1">INDIRECT("'"&amp;コード表!$C$3&amp;"'!"&amp;コード表!$D72&amp;コード表!M$104)</f>
        <v>13420</v>
      </c>
      <c r="N10" s="38">
        <f ca="1">INDIRECT("'"&amp;コード表!$C$3&amp;"'!"&amp;コード表!$D72&amp;コード表!N$104)</f>
        <v>13001</v>
      </c>
      <c r="Q10" s="76" t="s">
        <v>230</v>
      </c>
      <c r="R10" s="75">
        <f ca="1">地域分析!G22</f>
        <v>7.16</v>
      </c>
    </row>
    <row r="11" spans="1:18" ht="16.5" customHeight="1">
      <c r="A11" s="126" t="s">
        <v>11</v>
      </c>
      <c r="B11" s="111" t="s">
        <v>57</v>
      </c>
      <c r="C11" s="36">
        <f ca="1">INDIRECT("'"&amp;コード表!$C$3&amp;"'!"&amp;コード表!$D74&amp;コード表!C$104)</f>
        <v>46042</v>
      </c>
      <c r="D11" s="38">
        <f ca="1">INDIRECT("'"&amp;コード表!$C$3&amp;"'!"&amp;コード表!$D74&amp;コード表!D$104)</f>
        <v>49567</v>
      </c>
      <c r="E11" s="38">
        <f ca="1">INDIRECT("'"&amp;コード表!$C$3&amp;"'!"&amp;コード表!$D74&amp;コード表!E$104)</f>
        <v>53277</v>
      </c>
      <c r="F11" s="38">
        <f ca="1">INDIRECT("'"&amp;コード表!$C$3&amp;"'!"&amp;コード表!$D74&amp;コード表!F$104)</f>
        <v>79695</v>
      </c>
      <c r="G11" s="38">
        <f ca="1">INDIRECT("'"&amp;コード表!$C$3&amp;"'!"&amp;コード表!$D74&amp;コード表!G$104)</f>
        <v>88860</v>
      </c>
      <c r="H11" s="38">
        <f ca="1">INDIRECT("'"&amp;コード表!$C$3&amp;"'!"&amp;コード表!$D74&amp;コード表!H$104)</f>
        <v>101960</v>
      </c>
      <c r="I11" s="38">
        <f ca="1">INDIRECT("'"&amp;コード表!$C$3&amp;"'!"&amp;コード表!$D74&amp;コード表!I$104)</f>
        <v>98269</v>
      </c>
      <c r="J11" s="38">
        <f ca="1">INDIRECT("'"&amp;コード表!$C$3&amp;"'!"&amp;コード表!$D74&amp;コード表!J$104)</f>
        <v>91544</v>
      </c>
      <c r="K11" s="38">
        <f ca="1">INDIRECT("'"&amp;コード表!$C$3&amp;"'!"&amp;コード表!$D74&amp;コード表!K$104)</f>
        <v>86858</v>
      </c>
      <c r="L11" s="38">
        <f ca="1">INDIRECT("'"&amp;コード表!$C$3&amp;"'!"&amp;コード表!$D74&amp;コード表!L$104)</f>
        <v>70240</v>
      </c>
      <c r="M11" s="38">
        <f ca="1">INDIRECT("'"&amp;コード表!$C$3&amp;"'!"&amp;コード表!$D74&amp;コード表!M$104)</f>
        <v>97430</v>
      </c>
      <c r="N11" s="38">
        <f ca="1">INDIRECT("'"&amp;コード表!$C$3&amp;"'!"&amp;コード表!$D74&amp;コード表!N$104)</f>
        <v>65741</v>
      </c>
      <c r="Q11" s="76" t="s">
        <v>231</v>
      </c>
      <c r="R11" s="75">
        <f ca="1">地域分析!G21</f>
        <v>1.411</v>
      </c>
    </row>
    <row r="12" spans="1:18" ht="16.5" customHeight="1">
      <c r="A12" s="126" t="s">
        <v>13</v>
      </c>
      <c r="B12" s="111" t="s">
        <v>56</v>
      </c>
      <c r="C12" s="36">
        <f ca="1">INDIRECT("'"&amp;コード表!$C$3&amp;"'!"&amp;コード表!$D73&amp;コード表!C$104)</f>
        <v>24858</v>
      </c>
      <c r="D12" s="38">
        <f ca="1">INDIRECT("'"&amp;コード表!$C$3&amp;"'!"&amp;コード表!$D73&amp;コード表!D$104)</f>
        <v>24358</v>
      </c>
      <c r="E12" s="38">
        <f ca="1">INDIRECT("'"&amp;コード表!$C$3&amp;"'!"&amp;コード表!$D73&amp;コード表!E$104)</f>
        <v>23313</v>
      </c>
      <c r="F12" s="38">
        <f ca="1">INDIRECT("'"&amp;コード表!$C$3&amp;"'!"&amp;コード表!$D73&amp;コード表!F$104)</f>
        <v>28705</v>
      </c>
      <c r="G12" s="38">
        <f ca="1">INDIRECT("'"&amp;コード表!$C$3&amp;"'!"&amp;コード表!$D73&amp;コード表!G$104)</f>
        <v>28872</v>
      </c>
      <c r="H12" s="38">
        <f ca="1">INDIRECT("'"&amp;コード表!$C$3&amp;"'!"&amp;コード表!$D73&amp;コード表!H$104)</f>
        <v>31778</v>
      </c>
      <c r="I12" s="38">
        <f ca="1">INDIRECT("'"&amp;コード表!$C$3&amp;"'!"&amp;コード表!$D73&amp;コード表!I$104)</f>
        <v>30957</v>
      </c>
      <c r="J12" s="38">
        <f ca="1">INDIRECT("'"&amp;コード表!$C$3&amp;"'!"&amp;コード表!$D73&amp;コード表!J$104)</f>
        <v>31109</v>
      </c>
      <c r="K12" s="38">
        <f ca="1">INDIRECT("'"&amp;コード表!$C$3&amp;"'!"&amp;コード表!$D73&amp;コード表!K$104)</f>
        <v>33223</v>
      </c>
      <c r="L12" s="38">
        <f ca="1">INDIRECT("'"&amp;コード表!$C$3&amp;"'!"&amp;コード表!$D73&amp;コード表!L$104)</f>
        <v>32955</v>
      </c>
      <c r="M12" s="38">
        <f ca="1">INDIRECT("'"&amp;コード表!$C$3&amp;"'!"&amp;コード表!$D73&amp;コード表!M$104)</f>
        <v>33616</v>
      </c>
      <c r="N12" s="38">
        <f ca="1">INDIRECT("'"&amp;コード表!$C$3&amp;"'!"&amp;コード表!$D73&amp;コード表!N$104)</f>
        <v>26951</v>
      </c>
      <c r="Q12" s="76" t="s">
        <v>232</v>
      </c>
      <c r="R12" s="75">
        <f ca="1">地域分析!G20</f>
        <v>12.755000000000001</v>
      </c>
    </row>
    <row r="13" spans="1:18" ht="16.5" customHeight="1">
      <c r="A13" s="126" t="s">
        <v>15</v>
      </c>
      <c r="B13" s="111" t="s">
        <v>58</v>
      </c>
      <c r="C13" s="36">
        <f ca="1">INDIRECT("'"&amp;コード表!$C$3&amp;"'!"&amp;コード表!$D75&amp;コード表!C$104)</f>
        <v>116127</v>
      </c>
      <c r="D13" s="38">
        <f ca="1">INDIRECT("'"&amp;コード表!$C$3&amp;"'!"&amp;コード表!$D75&amp;コード表!D$104)</f>
        <v>118263</v>
      </c>
      <c r="E13" s="38">
        <f ca="1">INDIRECT("'"&amp;コード表!$C$3&amp;"'!"&amp;コード表!$D75&amp;コード表!E$104)</f>
        <v>122216</v>
      </c>
      <c r="F13" s="38">
        <f ca="1">INDIRECT("'"&amp;コード表!$C$3&amp;"'!"&amp;コード表!$D75&amp;コード表!F$104)</f>
        <v>120743</v>
      </c>
      <c r="G13" s="38">
        <f ca="1">INDIRECT("'"&amp;コード表!$C$3&amp;"'!"&amp;コード表!$D75&amp;コード表!G$104)</f>
        <v>121597</v>
      </c>
      <c r="H13" s="38">
        <f ca="1">INDIRECT("'"&amp;コード表!$C$3&amp;"'!"&amp;コード表!$D75&amp;コード表!H$104)</f>
        <v>120412</v>
      </c>
      <c r="I13" s="38">
        <f ca="1">INDIRECT("'"&amp;コード表!$C$3&amp;"'!"&amp;コード表!$D75&amp;コード表!I$104)</f>
        <v>124426</v>
      </c>
      <c r="J13" s="38">
        <f ca="1">INDIRECT("'"&amp;コード表!$C$3&amp;"'!"&amp;コード表!$D75&amp;コード表!J$104)</f>
        <v>123487</v>
      </c>
      <c r="K13" s="38">
        <f ca="1">INDIRECT("'"&amp;コード表!$C$3&amp;"'!"&amp;コード表!$D75&amp;コード表!K$104)</f>
        <v>120071</v>
      </c>
      <c r="L13" s="38">
        <f ca="1">INDIRECT("'"&amp;コード表!$C$3&amp;"'!"&amp;コード表!$D75&amp;コード表!L$104)</f>
        <v>111741</v>
      </c>
      <c r="M13" s="38">
        <f ca="1">INDIRECT("'"&amp;コード表!$C$3&amp;"'!"&amp;コード表!$D75&amp;コード表!M$104)</f>
        <v>118730</v>
      </c>
      <c r="N13" s="38">
        <f ca="1">INDIRECT("'"&amp;コード表!$C$3&amp;"'!"&amp;コード表!$D75&amp;コード表!N$104)</f>
        <v>124290</v>
      </c>
      <c r="Q13" s="76" t="s">
        <v>233</v>
      </c>
      <c r="R13" s="75">
        <f ca="1">地域分析!G19</f>
        <v>-2.4860000000000002</v>
      </c>
    </row>
    <row r="14" spans="1:18" ht="16.5" customHeight="1">
      <c r="A14" s="126" t="s">
        <v>16</v>
      </c>
      <c r="B14" s="111" t="s">
        <v>59</v>
      </c>
      <c r="C14" s="36">
        <f ca="1">INDIRECT("'"&amp;コード表!$C$3&amp;"'!"&amp;コード表!$D76&amp;コード表!C$104)</f>
        <v>142559</v>
      </c>
      <c r="D14" s="38">
        <f ca="1">INDIRECT("'"&amp;コード表!$C$3&amp;"'!"&amp;コード表!$D76&amp;コード表!D$104)</f>
        <v>128082</v>
      </c>
      <c r="E14" s="38">
        <f ca="1">INDIRECT("'"&amp;コード表!$C$3&amp;"'!"&amp;コード表!$D76&amp;コード表!E$104)</f>
        <v>140846</v>
      </c>
      <c r="F14" s="38">
        <f ca="1">INDIRECT("'"&amp;コード表!$C$3&amp;"'!"&amp;コード表!$D76&amp;コード表!F$104)</f>
        <v>134994</v>
      </c>
      <c r="G14" s="38">
        <f ca="1">INDIRECT("'"&amp;コード表!$C$3&amp;"'!"&amp;コード表!$D76&amp;コード表!G$104)</f>
        <v>139059</v>
      </c>
      <c r="H14" s="38">
        <f ca="1">INDIRECT("'"&amp;コード表!$C$3&amp;"'!"&amp;コード表!$D76&amp;コード表!H$104)</f>
        <v>152590</v>
      </c>
      <c r="I14" s="38">
        <f ca="1">INDIRECT("'"&amp;コード表!$C$3&amp;"'!"&amp;コード表!$D76&amp;コード表!I$104)</f>
        <v>151862</v>
      </c>
      <c r="J14" s="38">
        <f ca="1">INDIRECT("'"&amp;コード表!$C$3&amp;"'!"&amp;コード表!$D76&amp;コード表!J$104)</f>
        <v>151606</v>
      </c>
      <c r="K14" s="38">
        <f ca="1">INDIRECT("'"&amp;コード表!$C$3&amp;"'!"&amp;コード表!$D76&amp;コード表!K$104)</f>
        <v>145784</v>
      </c>
      <c r="L14" s="38">
        <f ca="1">INDIRECT("'"&amp;コード表!$C$3&amp;"'!"&amp;コード表!$D76&amp;コード表!L$104)</f>
        <v>73671</v>
      </c>
      <c r="M14" s="38">
        <f ca="1">INDIRECT("'"&amp;コード表!$C$3&amp;"'!"&amp;コード表!$D76&amp;コード表!M$104)</f>
        <v>78739</v>
      </c>
      <c r="N14" s="38">
        <f ca="1">INDIRECT("'"&amp;コード表!$C$3&amp;"'!"&amp;コード表!$D76&amp;コード表!N$104)</f>
        <v>131070</v>
      </c>
      <c r="Q14" s="76" t="s">
        <v>234</v>
      </c>
      <c r="R14" s="75">
        <f ca="1">地域分析!G18</f>
        <v>55.12</v>
      </c>
    </row>
    <row r="15" spans="1:18" ht="16.5" customHeight="1">
      <c r="A15" s="18">
        <v>10</v>
      </c>
      <c r="B15" s="111" t="s">
        <v>60</v>
      </c>
      <c r="C15" s="36">
        <f ca="1">INDIRECT("'"&amp;コード表!$C$3&amp;"'!"&amp;コード表!$D77&amp;コード表!C$104)</f>
        <v>50099</v>
      </c>
      <c r="D15" s="38">
        <f ca="1">INDIRECT("'"&amp;コード表!$C$3&amp;"'!"&amp;コード表!$D77&amp;コード表!D$104)</f>
        <v>48891</v>
      </c>
      <c r="E15" s="38">
        <f ca="1">INDIRECT("'"&amp;コード表!$C$3&amp;"'!"&amp;コード表!$D77&amp;コード表!E$104)</f>
        <v>49937</v>
      </c>
      <c r="F15" s="38">
        <f ca="1">INDIRECT("'"&amp;コード表!$C$3&amp;"'!"&amp;コード表!$D77&amp;コード表!F$104)</f>
        <v>49005</v>
      </c>
      <c r="G15" s="38">
        <f ca="1">INDIRECT("'"&amp;コード表!$C$3&amp;"'!"&amp;コード表!$D77&amp;コード表!G$104)</f>
        <v>49946</v>
      </c>
      <c r="H15" s="38">
        <f ca="1">INDIRECT("'"&amp;コード表!$C$3&amp;"'!"&amp;コード表!$D77&amp;コード表!H$104)</f>
        <v>55896</v>
      </c>
      <c r="I15" s="38">
        <f ca="1">INDIRECT("'"&amp;コード表!$C$3&amp;"'!"&amp;コード表!$D77&amp;コード表!I$104)</f>
        <v>58290</v>
      </c>
      <c r="J15" s="38">
        <f ca="1">INDIRECT("'"&amp;コード表!$C$3&amp;"'!"&amp;コード表!$D77&amp;コード表!J$104)</f>
        <v>59510</v>
      </c>
      <c r="K15" s="38">
        <f ca="1">INDIRECT("'"&amp;コード表!$C$3&amp;"'!"&amp;コード表!$D77&amp;コード表!K$104)</f>
        <v>55554</v>
      </c>
      <c r="L15" s="38">
        <f ca="1">INDIRECT("'"&amp;コード表!$C$3&amp;"'!"&amp;コード表!$D77&amp;コード表!L$104)</f>
        <v>32359</v>
      </c>
      <c r="M15" s="38">
        <f ca="1">INDIRECT("'"&amp;コード表!$C$3&amp;"'!"&amp;コード表!$D77&amp;コード表!M$104)</f>
        <v>30762</v>
      </c>
      <c r="N15" s="38">
        <f ca="1">INDIRECT("'"&amp;コード表!$C$3&amp;"'!"&amp;コード表!$D77&amp;コード表!N$104)</f>
        <v>47718</v>
      </c>
      <c r="Q15" s="76" t="s">
        <v>235</v>
      </c>
      <c r="R15" s="75">
        <f ca="1">地域分析!G17</f>
        <v>66.460999999999999</v>
      </c>
    </row>
    <row r="16" spans="1:18" ht="16.5" customHeight="1">
      <c r="A16" s="18">
        <v>11</v>
      </c>
      <c r="B16" s="111" t="s">
        <v>61</v>
      </c>
      <c r="C16" s="36">
        <f ca="1">INDIRECT("'"&amp;コード表!$C$3&amp;"'!"&amp;コード表!$D78&amp;コード表!C$104)</f>
        <v>116084</v>
      </c>
      <c r="D16" s="38">
        <f ca="1">INDIRECT("'"&amp;コード表!$C$3&amp;"'!"&amp;コード表!$D78&amp;コード表!D$104)</f>
        <v>109422</v>
      </c>
      <c r="E16" s="38">
        <f ca="1">INDIRECT("'"&amp;コード表!$C$3&amp;"'!"&amp;コード表!$D78&amp;コード表!E$104)</f>
        <v>107258</v>
      </c>
      <c r="F16" s="38">
        <f ca="1">INDIRECT("'"&amp;コード表!$C$3&amp;"'!"&amp;コード表!$D78&amp;コード表!F$104)</f>
        <v>98532</v>
      </c>
      <c r="G16" s="38">
        <f ca="1">INDIRECT("'"&amp;コード表!$C$3&amp;"'!"&amp;コード表!$D78&amp;コード表!G$104)</f>
        <v>102547</v>
      </c>
      <c r="H16" s="38">
        <f ca="1">INDIRECT("'"&amp;コード表!$C$3&amp;"'!"&amp;コード表!$D78&amp;コード表!H$104)</f>
        <v>106121</v>
      </c>
      <c r="I16" s="38">
        <f ca="1">INDIRECT("'"&amp;コード表!$C$3&amp;"'!"&amp;コード表!$D78&amp;コード表!I$104)</f>
        <v>103514</v>
      </c>
      <c r="J16" s="38">
        <f ca="1">INDIRECT("'"&amp;コード表!$C$3&amp;"'!"&amp;コード表!$D78&amp;コード表!J$104)</f>
        <v>104142</v>
      </c>
      <c r="K16" s="38">
        <f ca="1">INDIRECT("'"&amp;コード表!$C$3&amp;"'!"&amp;コード表!$D78&amp;コード表!K$104)</f>
        <v>97261</v>
      </c>
      <c r="L16" s="38">
        <f ca="1">INDIRECT("'"&amp;コード表!$C$3&amp;"'!"&amp;コード表!$D78&amp;コード表!L$104)</f>
        <v>97274</v>
      </c>
      <c r="M16" s="38">
        <f ca="1">INDIRECT("'"&amp;コード表!$C$3&amp;"'!"&amp;コード表!$D78&amp;コード表!M$104)</f>
        <v>94296</v>
      </c>
      <c r="N16" s="38">
        <f ca="1">INDIRECT("'"&amp;コード表!$C$3&amp;"'!"&amp;コード表!$D78&amp;コード表!N$104)</f>
        <v>91952</v>
      </c>
      <c r="Q16" s="76" t="s">
        <v>236</v>
      </c>
      <c r="R16" s="75">
        <f ca="1">地域分析!G16</f>
        <v>4.6829999999999998</v>
      </c>
    </row>
    <row r="17" spans="1:29" ht="16.5" customHeight="1">
      <c r="A17" s="18">
        <v>12</v>
      </c>
      <c r="B17" s="111" t="s">
        <v>62</v>
      </c>
      <c r="C17" s="36">
        <f ca="1">INDIRECT("'"&amp;コード表!$C$3&amp;"'!"&amp;コード表!$D79&amp;コード表!C$104)</f>
        <v>92335</v>
      </c>
      <c r="D17" s="38">
        <f ca="1">INDIRECT("'"&amp;コード表!$C$3&amp;"'!"&amp;コード表!$D79&amp;コード表!D$104)</f>
        <v>89270</v>
      </c>
      <c r="E17" s="38">
        <f ca="1">INDIRECT("'"&amp;コード表!$C$3&amp;"'!"&amp;コード表!$D79&amp;コード表!E$104)</f>
        <v>92518</v>
      </c>
      <c r="F17" s="38">
        <f ca="1">INDIRECT("'"&amp;コード表!$C$3&amp;"'!"&amp;コード表!$D79&amp;コード表!F$104)</f>
        <v>91900</v>
      </c>
      <c r="G17" s="38">
        <f ca="1">INDIRECT("'"&amp;コード表!$C$3&amp;"'!"&amp;コード表!$D79&amp;コード表!G$104)</f>
        <v>91748</v>
      </c>
      <c r="H17" s="38">
        <f ca="1">INDIRECT("'"&amp;コード表!$C$3&amp;"'!"&amp;コード表!$D79&amp;コード表!H$104)</f>
        <v>84030</v>
      </c>
      <c r="I17" s="38">
        <f ca="1">INDIRECT("'"&amp;コード表!$C$3&amp;"'!"&amp;コード表!$D79&amp;コード表!I$104)</f>
        <v>85672</v>
      </c>
      <c r="J17" s="38">
        <f ca="1">INDIRECT("'"&amp;コード表!$C$3&amp;"'!"&amp;コード表!$D79&amp;コード表!J$104)</f>
        <v>88004</v>
      </c>
      <c r="K17" s="38">
        <f ca="1">INDIRECT("'"&amp;コード表!$C$3&amp;"'!"&amp;コード表!$D79&amp;コード表!K$104)</f>
        <v>91241</v>
      </c>
      <c r="L17" s="38">
        <f ca="1">INDIRECT("'"&amp;コード表!$C$3&amp;"'!"&amp;コード表!$D79&amp;コード表!L$104)</f>
        <v>89262</v>
      </c>
      <c r="M17" s="38">
        <f ca="1">INDIRECT("'"&amp;コード表!$C$3&amp;"'!"&amp;コード表!$D79&amp;コード表!M$104)</f>
        <v>92458</v>
      </c>
      <c r="N17" s="38">
        <f ca="1">INDIRECT("'"&amp;コード表!$C$3&amp;"'!"&amp;コード表!$D79&amp;コード表!N$104)</f>
        <v>104251</v>
      </c>
      <c r="Q17" s="78" t="s">
        <v>237</v>
      </c>
      <c r="R17" s="77">
        <f ca="1">地域分析!G15</f>
        <v>-19.827000000000002</v>
      </c>
    </row>
    <row r="18" spans="1:29" ht="16.5" customHeight="1">
      <c r="A18" s="18">
        <v>13</v>
      </c>
      <c r="B18" s="111" t="s">
        <v>63</v>
      </c>
      <c r="C18" s="36">
        <f ca="1">INDIRECT("'"&amp;コード表!$C$3&amp;"'!"&amp;コード表!$D80&amp;コード表!C$104)</f>
        <v>127423</v>
      </c>
      <c r="D18" s="38">
        <f ca="1">INDIRECT("'"&amp;コード表!$C$3&amp;"'!"&amp;コード表!$D80&amp;コード表!D$104)</f>
        <v>126308</v>
      </c>
      <c r="E18" s="38">
        <f ca="1">INDIRECT("'"&amp;コード表!$C$3&amp;"'!"&amp;コード表!$D80&amp;コード表!E$104)</f>
        <v>127855</v>
      </c>
      <c r="F18" s="38">
        <f ca="1">INDIRECT("'"&amp;コード表!$C$3&amp;"'!"&amp;コード表!$D80&amp;コード表!F$104)</f>
        <v>132242</v>
      </c>
      <c r="G18" s="38">
        <f ca="1">INDIRECT("'"&amp;コード表!$C$3&amp;"'!"&amp;コード表!$D80&amp;コード表!G$104)</f>
        <v>131726</v>
      </c>
      <c r="H18" s="38">
        <f ca="1">INDIRECT("'"&amp;コード表!$C$3&amp;"'!"&amp;コード表!$D80&amp;コード表!H$104)</f>
        <v>133388</v>
      </c>
      <c r="I18" s="38">
        <f ca="1">INDIRECT("'"&amp;コード表!$C$3&amp;"'!"&amp;コード表!$D80&amp;コード表!I$104)</f>
        <v>138783</v>
      </c>
      <c r="J18" s="38">
        <f ca="1">INDIRECT("'"&amp;コード表!$C$3&amp;"'!"&amp;コード表!$D80&amp;コード表!J$104)</f>
        <v>141502</v>
      </c>
      <c r="K18" s="38">
        <f ca="1">INDIRECT("'"&amp;コード表!$C$3&amp;"'!"&amp;コード表!$D80&amp;コード表!K$104)</f>
        <v>143798</v>
      </c>
      <c r="L18" s="38">
        <f ca="1">INDIRECT("'"&amp;コード表!$C$3&amp;"'!"&amp;コード表!$D80&amp;コード表!L$104)</f>
        <v>146879</v>
      </c>
      <c r="M18" s="38">
        <f ca="1">INDIRECT("'"&amp;コード表!$C$3&amp;"'!"&amp;コード表!$D80&amp;コード表!M$104)</f>
        <v>147331</v>
      </c>
      <c r="N18" s="38">
        <f ca="1">INDIRECT("'"&amp;コード表!$C$3&amp;"'!"&amp;コード表!$D80&amp;コード表!N$104)</f>
        <v>149410</v>
      </c>
      <c r="Q18" s="76" t="s">
        <v>238</v>
      </c>
      <c r="R18" s="75">
        <f ca="1">地域分析!G13</f>
        <v>-32.524999999999999</v>
      </c>
    </row>
    <row r="19" spans="1:29" ht="16.5" customHeight="1">
      <c r="A19" s="18">
        <v>14</v>
      </c>
      <c r="B19" s="111" t="s">
        <v>64</v>
      </c>
      <c r="C19" s="36">
        <f ca="1">INDIRECT("'"&amp;コード表!$C$3&amp;"'!"&amp;コード表!$D81&amp;コード表!C$104)</f>
        <v>133386</v>
      </c>
      <c r="D19" s="38">
        <f ca="1">INDIRECT("'"&amp;コード表!$C$3&amp;"'!"&amp;コード表!$D81&amp;コード表!D$104)</f>
        <v>141767</v>
      </c>
      <c r="E19" s="38">
        <f ca="1">INDIRECT("'"&amp;コード表!$C$3&amp;"'!"&amp;コード表!$D81&amp;コード表!E$104)</f>
        <v>148077</v>
      </c>
      <c r="F19" s="38">
        <f ca="1">INDIRECT("'"&amp;コード表!$C$3&amp;"'!"&amp;コード表!$D81&amp;コード表!F$104)</f>
        <v>152578</v>
      </c>
      <c r="G19" s="38">
        <f ca="1">INDIRECT("'"&amp;コード表!$C$3&amp;"'!"&amp;コード表!$D81&amp;コード表!G$104)</f>
        <v>167190</v>
      </c>
      <c r="H19" s="38">
        <f ca="1">INDIRECT("'"&amp;コード表!$C$3&amp;"'!"&amp;コード表!$D81&amp;コード表!H$104)</f>
        <v>180364</v>
      </c>
      <c r="I19" s="38">
        <f ca="1">INDIRECT("'"&amp;コード表!$C$3&amp;"'!"&amp;コード表!$D81&amp;コード表!I$104)</f>
        <v>177955</v>
      </c>
      <c r="J19" s="38">
        <f ca="1">INDIRECT("'"&amp;コード表!$C$3&amp;"'!"&amp;コード表!$D81&amp;コード表!J$104)</f>
        <v>180044</v>
      </c>
      <c r="K19" s="38">
        <f ca="1">INDIRECT("'"&amp;コード表!$C$3&amp;"'!"&amp;コード表!$D81&amp;コード表!K$104)</f>
        <v>176439</v>
      </c>
      <c r="L19" s="38">
        <f ca="1">INDIRECT("'"&amp;コード表!$C$3&amp;"'!"&amp;コード表!$D81&amp;コード表!L$104)</f>
        <v>178465</v>
      </c>
      <c r="M19" s="38">
        <f ca="1">INDIRECT("'"&amp;コード表!$C$3&amp;"'!"&amp;コード表!$D81&amp;コード表!M$104)</f>
        <v>190302</v>
      </c>
      <c r="N19" s="38">
        <f ca="1">INDIRECT("'"&amp;コード表!$C$3&amp;"'!"&amp;コード表!$D81&amp;コード表!N$104)</f>
        <v>203928</v>
      </c>
      <c r="Q19" s="76" t="s">
        <v>239</v>
      </c>
      <c r="R19" s="75">
        <f ca="1">地域分析!G12</f>
        <v>-3.1219999999999999</v>
      </c>
    </row>
    <row r="20" spans="1:29" ht="16.5" customHeight="1">
      <c r="A20" s="18">
        <v>15</v>
      </c>
      <c r="B20" s="111" t="s">
        <v>65</v>
      </c>
      <c r="C20" s="36">
        <f ca="1">INDIRECT("'"&amp;コード表!$C$3&amp;"'!"&amp;コード表!$D82&amp;コード表!C$104)</f>
        <v>177201</v>
      </c>
      <c r="D20" s="38">
        <f ca="1">INDIRECT("'"&amp;コード表!$C$3&amp;"'!"&amp;コード表!$D82&amp;コード表!D$104)</f>
        <v>175741</v>
      </c>
      <c r="E20" s="38">
        <f ca="1">INDIRECT("'"&amp;コード表!$C$3&amp;"'!"&amp;コード表!$D82&amp;コード表!E$104)</f>
        <v>171255</v>
      </c>
      <c r="F20" s="38">
        <f ca="1">INDIRECT("'"&amp;コード表!$C$3&amp;"'!"&amp;コード表!$D82&amp;コード表!F$104)</f>
        <v>182370</v>
      </c>
      <c r="G20" s="38">
        <f ca="1">INDIRECT("'"&amp;コード表!$C$3&amp;"'!"&amp;コード表!$D82&amp;コード表!G$104)</f>
        <v>189088</v>
      </c>
      <c r="H20" s="38">
        <f ca="1">INDIRECT("'"&amp;コード表!$C$3&amp;"'!"&amp;コード表!$D82&amp;コード表!H$104)</f>
        <v>191890</v>
      </c>
      <c r="I20" s="38">
        <f ca="1">INDIRECT("'"&amp;コード表!$C$3&amp;"'!"&amp;コード表!$D82&amp;コード表!I$104)</f>
        <v>196269</v>
      </c>
      <c r="J20" s="38">
        <f ca="1">INDIRECT("'"&amp;コード表!$C$3&amp;"'!"&amp;コード表!$D82&amp;コード表!J$104)</f>
        <v>201982</v>
      </c>
      <c r="K20" s="38">
        <f ca="1">INDIRECT("'"&amp;コード表!$C$3&amp;"'!"&amp;コード表!$D82&amp;コード表!K$104)</f>
        <v>210205</v>
      </c>
      <c r="L20" s="38">
        <f ca="1">INDIRECT("'"&amp;コード表!$C$3&amp;"'!"&amp;コード表!$D82&amp;コード表!L$104)</f>
        <v>196715</v>
      </c>
      <c r="M20" s="38">
        <f ca="1">INDIRECT("'"&amp;コード表!$C$3&amp;"'!"&amp;コード表!$D82&amp;コード表!M$104)</f>
        <v>201247</v>
      </c>
      <c r="N20" s="38">
        <f ca="1">INDIRECT("'"&amp;コード表!$C$3&amp;"'!"&amp;コード表!$D82&amp;コード表!N$104)</f>
        <v>204666</v>
      </c>
      <c r="Q20" s="78" t="s">
        <v>240</v>
      </c>
      <c r="R20" s="77">
        <f ca="1">地域分析!G11</f>
        <v>22.405000000000001</v>
      </c>
    </row>
    <row r="21" spans="1:29" ht="16.5" customHeight="1">
      <c r="A21" s="18">
        <v>16</v>
      </c>
      <c r="B21" s="111" t="s">
        <v>66</v>
      </c>
      <c r="C21" s="36">
        <f ca="1">INDIRECT("'"&amp;コード表!$C$3&amp;"'!"&amp;コード表!$D83&amp;コード表!C$104)</f>
        <v>39159</v>
      </c>
      <c r="D21" s="38">
        <f ca="1">INDIRECT("'"&amp;コード表!$C$3&amp;"'!"&amp;コード表!$D83&amp;コード表!D$104)</f>
        <v>38899</v>
      </c>
      <c r="E21" s="38">
        <f ca="1">INDIRECT("'"&amp;コード表!$C$3&amp;"'!"&amp;コード表!$D83&amp;コード表!E$104)</f>
        <v>37462</v>
      </c>
      <c r="F21" s="38">
        <f ca="1">INDIRECT("'"&amp;コード表!$C$3&amp;"'!"&amp;コード表!$D83&amp;コード表!F$104)</f>
        <v>37594</v>
      </c>
      <c r="G21" s="38">
        <f ca="1">INDIRECT("'"&amp;コード表!$C$3&amp;"'!"&amp;コード表!$D83&amp;コード表!G$104)</f>
        <v>38112</v>
      </c>
      <c r="H21" s="38">
        <f ca="1">INDIRECT("'"&amp;コード表!$C$3&amp;"'!"&amp;コード表!$D83&amp;コード表!H$104)</f>
        <v>38199</v>
      </c>
      <c r="I21" s="38">
        <f ca="1">INDIRECT("'"&amp;コード表!$C$3&amp;"'!"&amp;コード表!$D83&amp;コード表!I$104)</f>
        <v>39684</v>
      </c>
      <c r="J21" s="38">
        <f ca="1">INDIRECT("'"&amp;コード表!$C$3&amp;"'!"&amp;コード表!$D83&amp;コード表!J$104)</f>
        <v>40608</v>
      </c>
      <c r="K21" s="38">
        <f ca="1">INDIRECT("'"&amp;コード表!$C$3&amp;"'!"&amp;コード表!$D83&amp;コード表!K$104)</f>
        <v>41074</v>
      </c>
      <c r="L21" s="38">
        <f ca="1">INDIRECT("'"&amp;コード表!$C$3&amp;"'!"&amp;コード表!$D83&amp;コード表!L$104)</f>
        <v>42406</v>
      </c>
      <c r="M21" s="38">
        <f ca="1">INDIRECT("'"&amp;コード表!$C$3&amp;"'!"&amp;コード表!$D83&amp;コード表!M$104)</f>
        <v>44004</v>
      </c>
      <c r="N21" s="38">
        <f ca="1">INDIRECT("'"&amp;コード表!$C$3&amp;"'!"&amp;コード表!$D83&amp;コード表!N$104)</f>
        <v>45504</v>
      </c>
      <c r="Q21" s="76" t="s">
        <v>241</v>
      </c>
      <c r="R21" s="75">
        <f ca="1">地域分析!G9</f>
        <v>-12.071999999999999</v>
      </c>
    </row>
    <row r="22" spans="1:29" ht="16.5" customHeight="1">
      <c r="A22" s="18">
        <v>17</v>
      </c>
      <c r="B22" s="111" t="s">
        <v>67</v>
      </c>
      <c r="C22" s="36">
        <f ca="1">INDIRECT("'"&amp;コード表!$C$3&amp;"'!"&amp;コード表!$D84&amp;コード表!C$104)</f>
        <v>88480</v>
      </c>
      <c r="D22" s="38">
        <f ca="1">INDIRECT("'"&amp;コード表!$C$3&amp;"'!"&amp;コード表!$D84&amp;コード表!D$104)</f>
        <v>92556</v>
      </c>
      <c r="E22" s="38">
        <f ca="1">INDIRECT("'"&amp;コード表!$C$3&amp;"'!"&amp;コード表!$D84&amp;コード表!E$104)</f>
        <v>95814</v>
      </c>
      <c r="F22" s="38">
        <f ca="1">INDIRECT("'"&amp;コード表!$C$3&amp;"'!"&amp;コード表!$D84&amp;コード表!F$104)</f>
        <v>96957</v>
      </c>
      <c r="G22" s="38">
        <f ca="1">INDIRECT("'"&amp;コード表!$C$3&amp;"'!"&amp;コード表!$D84&amp;コード表!G$104)</f>
        <v>105746</v>
      </c>
      <c r="H22" s="38">
        <f ca="1">INDIRECT("'"&amp;コード表!$C$3&amp;"'!"&amp;コード表!$D84&amp;コード表!H$104)</f>
        <v>111237</v>
      </c>
      <c r="I22" s="38">
        <f ca="1">INDIRECT("'"&amp;コード表!$C$3&amp;"'!"&amp;コード表!$D84&amp;コード表!I$104)</f>
        <v>112503</v>
      </c>
      <c r="J22" s="38">
        <f ca="1">INDIRECT("'"&amp;コード表!$C$3&amp;"'!"&amp;コード表!$D84&amp;コード表!J$104)</f>
        <v>116753</v>
      </c>
      <c r="K22" s="38">
        <f ca="1">INDIRECT("'"&amp;コード表!$C$3&amp;"'!"&amp;コード表!$D84&amp;コード表!K$104)</f>
        <v>121513</v>
      </c>
      <c r="L22" s="38">
        <f ca="1">INDIRECT("'"&amp;コード表!$C$3&amp;"'!"&amp;コード表!$D84&amp;コード表!L$104)</f>
        <v>122698</v>
      </c>
      <c r="M22" s="38">
        <f ca="1">INDIRECT("'"&amp;コード表!$C$3&amp;"'!"&amp;コード表!$D84&amp;コード表!M$104)</f>
        <v>128575</v>
      </c>
      <c r="N22" s="38">
        <f ca="1">INDIRECT("'"&amp;コード表!$C$3&amp;"'!"&amp;コード表!$D84&amp;コード表!N$104)</f>
        <v>131767</v>
      </c>
      <c r="Q22" s="76" t="s">
        <v>242</v>
      </c>
      <c r="R22" s="75">
        <f ca="1">地域分析!G8</f>
        <v>-13.208</v>
      </c>
    </row>
    <row r="23" spans="1:29" ht="16.5" customHeight="1">
      <c r="A23" s="18">
        <v>18</v>
      </c>
      <c r="B23" s="111" t="s">
        <v>68</v>
      </c>
      <c r="C23" s="36">
        <f ca="1">INDIRECT("'"&amp;コード表!$C$3&amp;"'!"&amp;コード表!$D85&amp;コード表!C$104)</f>
        <v>58073</v>
      </c>
      <c r="D23" s="38">
        <f ca="1">INDIRECT("'"&amp;コード表!$C$3&amp;"'!"&amp;コード表!$D85&amp;コード表!D$104)</f>
        <v>59789</v>
      </c>
      <c r="E23" s="38">
        <f ca="1">INDIRECT("'"&amp;コード表!$C$3&amp;"'!"&amp;コード表!$D85&amp;コード表!E$104)</f>
        <v>58370</v>
      </c>
      <c r="F23" s="38">
        <f ca="1">INDIRECT("'"&amp;コード表!$C$3&amp;"'!"&amp;コード表!$D85&amp;コード表!F$104)</f>
        <v>57911</v>
      </c>
      <c r="G23" s="38">
        <f ca="1">INDIRECT("'"&amp;コード表!$C$3&amp;"'!"&amp;コード表!$D85&amp;コード表!G$104)</f>
        <v>58027</v>
      </c>
      <c r="H23" s="38">
        <f ca="1">INDIRECT("'"&amp;コード表!$C$3&amp;"'!"&amp;コード表!$D85&amp;コード表!H$104)</f>
        <v>57055</v>
      </c>
      <c r="I23" s="38">
        <f ca="1">INDIRECT("'"&amp;コード表!$C$3&amp;"'!"&amp;コード表!$D85&amp;コード表!I$104)</f>
        <v>58273</v>
      </c>
      <c r="J23" s="38">
        <f ca="1">INDIRECT("'"&amp;コード表!$C$3&amp;"'!"&amp;コード表!$D85&amp;コード表!J$104)</f>
        <v>57800</v>
      </c>
      <c r="K23" s="38">
        <f ca="1">INDIRECT("'"&amp;コード表!$C$3&amp;"'!"&amp;コード表!$D85&amp;コード表!K$104)</f>
        <v>57217</v>
      </c>
      <c r="L23" s="38">
        <f ca="1">INDIRECT("'"&amp;コード表!$C$3&amp;"'!"&amp;コード表!$D85&amp;コード表!L$104)</f>
        <v>52822</v>
      </c>
      <c r="M23" s="38">
        <f ca="1">INDIRECT("'"&amp;コード表!$C$3&amp;"'!"&amp;コード表!$D85&amp;コード表!M$104)</f>
        <v>57265</v>
      </c>
      <c r="N23" s="38">
        <f ca="1">INDIRECT("'"&amp;コード表!$C$3&amp;"'!"&amp;コード表!$D85&amp;コード表!N$104)</f>
        <v>60603</v>
      </c>
      <c r="Q23" s="78" t="s">
        <v>243</v>
      </c>
      <c r="R23" s="75">
        <f ca="1">地域分析!G7</f>
        <v>-14.510999999999999</v>
      </c>
    </row>
    <row r="24" spans="1:29" ht="16.5" customHeight="1">
      <c r="A24" s="33">
        <v>19</v>
      </c>
      <c r="B24" s="110" t="s">
        <v>70</v>
      </c>
      <c r="C24" s="40">
        <f ca="1">INDIRECT("'"&amp;コード表!$C$3&amp;"'!"&amp;コード表!$D86&amp;コード表!C$104)</f>
        <v>1227983</v>
      </c>
      <c r="D24" s="35">
        <f ca="1">INDIRECT("'"&amp;コード表!$C$3&amp;"'!"&amp;コード表!$D86&amp;コード表!D$104)</f>
        <v>1218720</v>
      </c>
      <c r="E24" s="35">
        <f ca="1">INDIRECT("'"&amp;コード表!$C$3&amp;"'!"&amp;コード表!$D86&amp;コード表!E$104)</f>
        <v>1244245</v>
      </c>
      <c r="F24" s="35">
        <f ca="1">INDIRECT("'"&amp;コード表!$C$3&amp;"'!"&amp;コード表!$D86&amp;コード表!F$104)</f>
        <v>1279068</v>
      </c>
      <c r="G24" s="35">
        <f ca="1">INDIRECT("'"&amp;コード表!$C$3&amp;"'!"&amp;コード表!$D86&amp;コード表!G$104)</f>
        <v>1328046</v>
      </c>
      <c r="H24" s="35">
        <f ca="1">INDIRECT("'"&amp;コード表!$C$3&amp;"'!"&amp;コード表!$D86&amp;コード表!H$104)</f>
        <v>1377837</v>
      </c>
      <c r="I24" s="35">
        <f ca="1">INDIRECT("'"&amp;コード表!$C$3&amp;"'!"&amp;コード表!$D86&amp;コード表!I$104)</f>
        <v>1393105</v>
      </c>
      <c r="J24" s="35">
        <f ca="1">INDIRECT("'"&amp;コード表!$C$3&amp;"'!"&amp;コード表!$D86&amp;コード表!J$104)</f>
        <v>1405234</v>
      </c>
      <c r="K24" s="35">
        <f ca="1">INDIRECT("'"&amp;コード表!$C$3&amp;"'!"&amp;コード表!$D86&amp;コード表!K$104)</f>
        <v>1394853</v>
      </c>
      <c r="L24" s="35">
        <f ca="1">INDIRECT("'"&amp;コード表!$C$3&amp;"'!"&amp;コード表!$D86&amp;コード表!L$104)</f>
        <v>1264246</v>
      </c>
      <c r="M24" s="35">
        <f ca="1">INDIRECT("'"&amp;コード表!$C$3&amp;"'!"&amp;コード表!$D86&amp;コード表!M$104)</f>
        <v>1330933</v>
      </c>
      <c r="N24" s="35">
        <f ca="1">INDIRECT("'"&amp;コード表!$C$3&amp;"'!"&amp;コード表!$D86&amp;コード表!N$104)</f>
        <v>1403478</v>
      </c>
      <c r="Q24" s="78" t="s">
        <v>119</v>
      </c>
      <c r="R24" s="79">
        <f ca="1">地域分析!G29</f>
        <v>5.5549999999999997</v>
      </c>
    </row>
    <row r="25" spans="1:29" ht="16.5" customHeight="1" thickBot="1">
      <c r="A25" s="71">
        <v>20</v>
      </c>
      <c r="B25" s="113" t="s">
        <v>100</v>
      </c>
      <c r="C25" s="114">
        <f ca="1">INDIRECT("'"&amp;コード表!$C$3&amp;"'!"&amp;コード表!$D87&amp;コード表!C$104)</f>
        <v>1323</v>
      </c>
      <c r="D25" s="115">
        <f ca="1">INDIRECT("'"&amp;コード表!$C$3&amp;"'!"&amp;コード表!$D87&amp;コード表!D$104)</f>
        <v>1235</v>
      </c>
      <c r="E25" s="115">
        <f ca="1">INDIRECT("'"&amp;コード表!$C$3&amp;"'!"&amp;コード表!$D87&amp;コード表!E$104)</f>
        <v>669</v>
      </c>
      <c r="F25" s="115">
        <f ca="1">INDIRECT("'"&amp;コード表!$C$3&amp;"'!"&amp;コード表!$D87&amp;コード表!F$104)</f>
        <v>-977</v>
      </c>
      <c r="G25" s="115">
        <f ca="1">INDIRECT("'"&amp;コード表!$C$3&amp;"'!"&amp;コード表!$D87&amp;コード表!G$104)</f>
        <v>-5230</v>
      </c>
      <c r="H25" s="115">
        <f ca="1">INDIRECT("'"&amp;コード表!$C$3&amp;"'!"&amp;コード表!$D87&amp;コード表!H$104)</f>
        <v>-7277</v>
      </c>
      <c r="I25" s="115">
        <f ca="1">INDIRECT("'"&amp;コード表!$C$3&amp;"'!"&amp;コード表!$D87&amp;コード表!I$104)</f>
        <v>-7713</v>
      </c>
      <c r="J25" s="115">
        <f ca="1">INDIRECT("'"&amp;コード表!$C$3&amp;"'!"&amp;コード表!$D87&amp;コード表!J$104)</f>
        <v>-8221</v>
      </c>
      <c r="K25" s="115">
        <f ca="1">INDIRECT("'"&amp;コード表!$C$3&amp;"'!"&amp;コード表!$D87&amp;コード表!K$104)</f>
        <v>-10250</v>
      </c>
      <c r="L25" s="115">
        <f ca="1">INDIRECT("'"&amp;コード表!$C$3&amp;"'!"&amp;コード表!$D87&amp;コード表!L$104)</f>
        <v>-8697</v>
      </c>
      <c r="M25" s="115">
        <f ca="1">INDIRECT("'"&amp;コード表!$C$3&amp;"'!"&amp;コード表!$D87&amp;コード表!M$104)</f>
        <v>-10414</v>
      </c>
      <c r="N25" s="115">
        <f ca="1">INDIRECT("'"&amp;コード表!$C$3&amp;"'!"&amp;コード表!$D87&amp;コード表!N$104)</f>
        <v>-9602</v>
      </c>
    </row>
    <row r="26" spans="1:29" ht="16.5" customHeight="1" thickTop="1">
      <c r="A26" s="18">
        <v>21</v>
      </c>
      <c r="B26" s="111" t="s">
        <v>119</v>
      </c>
      <c r="C26" s="36">
        <f ca="1">INDIRECT("'"&amp;コード表!$C$3&amp;"'!"&amp;コード表!$D88&amp;コード表!C$104)</f>
        <v>1229306</v>
      </c>
      <c r="D26" s="38">
        <f ca="1">INDIRECT("'"&amp;コード表!$C$3&amp;"'!"&amp;コード表!$D88&amp;コード表!D$104)</f>
        <v>1219955</v>
      </c>
      <c r="E26" s="38">
        <f ca="1">INDIRECT("'"&amp;コード表!$C$3&amp;"'!"&amp;コード表!$D88&amp;コード表!E$104)</f>
        <v>1244914</v>
      </c>
      <c r="F26" s="38">
        <f ca="1">INDIRECT("'"&amp;コード表!$C$3&amp;"'!"&amp;コード表!$D88&amp;コード表!F$104)</f>
        <v>1278091</v>
      </c>
      <c r="G26" s="38">
        <f ca="1">INDIRECT("'"&amp;コード表!$C$3&amp;"'!"&amp;コード表!$D88&amp;コード表!G$104)</f>
        <v>1322816</v>
      </c>
      <c r="H26" s="38">
        <f ca="1">INDIRECT("'"&amp;コード表!$C$3&amp;"'!"&amp;コード表!$D88&amp;コード表!H$104)</f>
        <v>1370560</v>
      </c>
      <c r="I26" s="38">
        <f ca="1">INDIRECT("'"&amp;コード表!$C$3&amp;"'!"&amp;コード表!$D88&amp;コード表!I$104)</f>
        <v>1385392</v>
      </c>
      <c r="J26" s="38">
        <f ca="1">INDIRECT("'"&amp;コード表!$C$3&amp;"'!"&amp;コード表!$D88&amp;コード表!J$104)</f>
        <v>1397013</v>
      </c>
      <c r="K26" s="38">
        <f ca="1">INDIRECT("'"&amp;コード表!$C$3&amp;"'!"&amp;コード表!$D88&amp;コード表!K$104)</f>
        <v>1384603</v>
      </c>
      <c r="L26" s="38">
        <f ca="1">INDIRECT("'"&amp;コード表!$C$3&amp;"'!"&amp;コード表!$D88&amp;コード表!L$104)</f>
        <v>1255549</v>
      </c>
      <c r="M26" s="38">
        <f ca="1">INDIRECT("'"&amp;コード表!$C$3&amp;"'!"&amp;コード表!$D88&amp;コード表!M$104)</f>
        <v>1320519</v>
      </c>
      <c r="N26" s="38">
        <f ca="1">INDIRECT("'"&amp;コード表!$C$3&amp;"'!"&amp;コード表!$D88&amp;コード表!N$104)</f>
        <v>1393876</v>
      </c>
    </row>
    <row r="27" spans="1:29" ht="16.5" customHeight="1">
      <c r="A27" s="127" t="s">
        <v>158</v>
      </c>
      <c r="B27" s="128" t="s">
        <v>72</v>
      </c>
      <c r="C27" s="129">
        <f ca="1">INDIRECT("'"&amp;コード表!$C$3&amp;"'!"&amp;コード表!$D89&amp;コード表!C$104)</f>
        <v>1786</v>
      </c>
      <c r="D27" s="49">
        <f ca="1">INDIRECT("'"&amp;コード表!$C$3&amp;"'!"&amp;コード表!$D89&amp;コード表!D$104)</f>
        <v>2041</v>
      </c>
      <c r="E27" s="49">
        <f ca="1">INDIRECT("'"&amp;コード表!$C$3&amp;"'!"&amp;コード表!$D89&amp;コード表!E$104)</f>
        <v>2038</v>
      </c>
      <c r="F27" s="49">
        <f ca="1">INDIRECT("'"&amp;コード表!$C$3&amp;"'!"&amp;コード表!$D89&amp;コード表!F$104)</f>
        <v>2026</v>
      </c>
      <c r="G27" s="49">
        <f ca="1">INDIRECT("'"&amp;コード表!$C$3&amp;"'!"&amp;コード表!$D89&amp;コード表!G$104)</f>
        <v>2600</v>
      </c>
      <c r="H27" s="49">
        <f ca="1">INDIRECT("'"&amp;コード表!$C$3&amp;"'!"&amp;コード表!$D89&amp;コード表!H$104)</f>
        <v>2618</v>
      </c>
      <c r="I27" s="49">
        <f ca="1">INDIRECT("'"&amp;コード表!$C$3&amp;"'!"&amp;コード表!$D89&amp;コード表!I$104)</f>
        <v>2840</v>
      </c>
      <c r="J27" s="49">
        <f ca="1">INDIRECT("'"&amp;コード表!$C$3&amp;"'!"&amp;コード表!$D89&amp;コード表!J$104)</f>
        <v>2789</v>
      </c>
      <c r="K27" s="49">
        <f ca="1">INDIRECT("'"&amp;コード表!$C$3&amp;"'!"&amp;コード表!$D89&amp;コード表!K$104)</f>
        <v>2587</v>
      </c>
      <c r="L27" s="49">
        <f ca="1">INDIRECT("'"&amp;コード表!$C$3&amp;"'!"&amp;コード表!$D89&amp;コード表!L$104)</f>
        <v>1947</v>
      </c>
      <c r="M27" s="49">
        <f ca="1">INDIRECT("'"&amp;コード表!$C$3&amp;"'!"&amp;コード表!$D89&amp;コード表!M$104)</f>
        <v>2151</v>
      </c>
      <c r="N27" s="49">
        <f ca="1">INDIRECT("'"&amp;コード表!$C$3&amp;"'!"&amp;コード表!$D89&amp;コード表!N$104)</f>
        <v>1883</v>
      </c>
      <c r="Q27" s="24" t="s">
        <v>285</v>
      </c>
    </row>
    <row r="28" spans="1:29" ht="16.5" customHeight="1">
      <c r="A28" s="130" t="s">
        <v>147</v>
      </c>
      <c r="B28" s="111" t="s">
        <v>73</v>
      </c>
      <c r="C28" s="36">
        <f ca="1">INDIRECT("'"&amp;コード表!$C$3&amp;"'!"&amp;コード表!$D90&amp;コード表!C$104)</f>
        <v>60413</v>
      </c>
      <c r="D28" s="38">
        <f ca="1">INDIRECT("'"&amp;コード表!$C$3&amp;"'!"&amp;コード表!$D90&amp;コード表!D$104)</f>
        <v>63333</v>
      </c>
      <c r="E28" s="38">
        <f ca="1">INDIRECT("'"&amp;コード表!$C$3&amp;"'!"&amp;コード表!$D90&amp;コード表!E$104)</f>
        <v>67286</v>
      </c>
      <c r="F28" s="38">
        <f ca="1">INDIRECT("'"&amp;コード表!$C$3&amp;"'!"&amp;コード表!$D90&amp;コード表!F$104)</f>
        <v>93511</v>
      </c>
      <c r="G28" s="38">
        <f ca="1">INDIRECT("'"&amp;コード表!$C$3&amp;"'!"&amp;コード表!$D90&amp;コード表!G$104)</f>
        <v>101788</v>
      </c>
      <c r="H28" s="38">
        <f ca="1">INDIRECT("'"&amp;コード表!$C$3&amp;"'!"&amp;コード表!$D90&amp;コード表!H$104)</f>
        <v>112259</v>
      </c>
      <c r="I28" s="38">
        <f ca="1">INDIRECT("'"&amp;コード表!$C$3&amp;"'!"&amp;コード表!$D90&amp;コード表!I$104)</f>
        <v>112077</v>
      </c>
      <c r="J28" s="38">
        <f ca="1">INDIRECT("'"&amp;コード表!$C$3&amp;"'!"&amp;コード表!$D90&amp;コード表!J$104)</f>
        <v>105898</v>
      </c>
      <c r="K28" s="38">
        <f ca="1">INDIRECT("'"&amp;コード表!$C$3&amp;"'!"&amp;コード表!$D90&amp;コード表!K$104)</f>
        <v>98886</v>
      </c>
      <c r="L28" s="38">
        <f ca="1">INDIRECT("'"&amp;コード表!$C$3&amp;"'!"&amp;コード表!$D90&amp;コード表!L$104)</f>
        <v>85052</v>
      </c>
      <c r="M28" s="38">
        <f ca="1">INDIRECT("'"&amp;コード表!$C$3&amp;"'!"&amp;コード表!$D90&amp;コード表!M$104)</f>
        <v>111457</v>
      </c>
      <c r="N28" s="38">
        <f ca="1">INDIRECT("'"&amp;コード表!$C$3&amp;"'!"&amp;コード表!$D90&amp;コード表!N$104)</f>
        <v>79485</v>
      </c>
      <c r="Q28" s="307"/>
      <c r="R28" s="308" t="s">
        <v>197</v>
      </c>
      <c r="S28" s="308" t="s">
        <v>287</v>
      </c>
      <c r="T28" s="308" t="s">
        <v>199</v>
      </c>
      <c r="U28" s="308" t="s">
        <v>200</v>
      </c>
      <c r="V28" s="308" t="s">
        <v>201</v>
      </c>
      <c r="W28" s="308" t="s">
        <v>202</v>
      </c>
      <c r="X28" s="308" t="s">
        <v>203</v>
      </c>
      <c r="Y28" s="308" t="s">
        <v>204</v>
      </c>
      <c r="Z28" s="308" t="s">
        <v>205</v>
      </c>
      <c r="AA28" s="308" t="s">
        <v>288</v>
      </c>
      <c r="AB28" s="308" t="s">
        <v>289</v>
      </c>
      <c r="AC28" s="159" t="s">
        <v>290</v>
      </c>
    </row>
    <row r="29" spans="1:29" ht="16.5" customHeight="1">
      <c r="A29" s="131" t="s">
        <v>148</v>
      </c>
      <c r="B29" s="112" t="s">
        <v>74</v>
      </c>
      <c r="C29" s="37">
        <f ca="1">INDIRECT("'"&amp;コード表!$C$3&amp;"'!"&amp;コード表!$D91&amp;コード表!C$104)</f>
        <v>1165784</v>
      </c>
      <c r="D29" s="39">
        <f ca="1">INDIRECT("'"&amp;コード表!$C$3&amp;"'!"&amp;コード表!$D91&amp;コード表!D$104)</f>
        <v>1153346</v>
      </c>
      <c r="E29" s="39">
        <f ca="1">INDIRECT("'"&amp;コード表!$C$3&amp;"'!"&amp;コード表!$D91&amp;コード表!E$104)</f>
        <v>1174921</v>
      </c>
      <c r="F29" s="39">
        <f ca="1">INDIRECT("'"&amp;コード表!$C$3&amp;"'!"&amp;コード表!$D91&amp;コード表!F$104)</f>
        <v>1183531</v>
      </c>
      <c r="G29" s="39">
        <f ca="1">INDIRECT("'"&amp;コード表!$C$3&amp;"'!"&amp;コード表!$D91&amp;コード表!G$104)</f>
        <v>1223658</v>
      </c>
      <c r="H29" s="39">
        <f ca="1">INDIRECT("'"&amp;コード表!$C$3&amp;"'!"&amp;コード表!$D91&amp;コード表!H$104)</f>
        <v>1262960</v>
      </c>
      <c r="I29" s="39">
        <f ca="1">INDIRECT("'"&amp;コード表!$C$3&amp;"'!"&amp;コード表!$D91&amp;コード表!I$104)</f>
        <v>1278188</v>
      </c>
      <c r="J29" s="39">
        <f ca="1">INDIRECT("'"&amp;コード表!$C$3&amp;"'!"&amp;コード表!$D91&amp;コード表!J$104)</f>
        <v>1296547</v>
      </c>
      <c r="K29" s="39">
        <f ca="1">INDIRECT("'"&amp;コード表!$C$3&amp;"'!"&amp;コード表!$D91&amp;コード表!K$104)</f>
        <v>1293380</v>
      </c>
      <c r="L29" s="39">
        <f ca="1">INDIRECT("'"&amp;コード表!$C$3&amp;"'!"&amp;コード表!$D91&amp;コード表!L$104)</f>
        <v>1177247</v>
      </c>
      <c r="M29" s="39">
        <f ca="1">INDIRECT("'"&amp;コード表!$C$3&amp;"'!"&amp;コード表!$D91&amp;コード表!M$104)</f>
        <v>1217325</v>
      </c>
      <c r="N29" s="39">
        <f ca="1">INDIRECT("'"&amp;コード表!$C$3&amp;"'!"&amp;コード表!$D91&amp;コード表!N$104)</f>
        <v>1322110</v>
      </c>
      <c r="Q29" s="309" t="str">
        <f>$B$2</f>
        <v>那 覇 市</v>
      </c>
      <c r="R29" s="60">
        <f ca="1">C30</f>
        <v>7303</v>
      </c>
      <c r="S29" s="60">
        <f t="shared" ref="S29:AC29" ca="1" si="4">D30</f>
        <v>7111</v>
      </c>
      <c r="T29" s="60">
        <f t="shared" ca="1" si="4"/>
        <v>7225</v>
      </c>
      <c r="U29" s="60">
        <f t="shared" ca="1" si="4"/>
        <v>7259</v>
      </c>
      <c r="V29" s="60">
        <f t="shared" ca="1" si="4"/>
        <v>7417</v>
      </c>
      <c r="W29" s="60">
        <f t="shared" ca="1" si="4"/>
        <v>7429</v>
      </c>
      <c r="X29" s="60">
        <f t="shared" ca="1" si="4"/>
        <v>7410</v>
      </c>
      <c r="Y29" s="60">
        <f t="shared" ca="1" si="4"/>
        <v>7375</v>
      </c>
      <c r="Z29" s="60">
        <f t="shared" ca="1" si="4"/>
        <v>7104</v>
      </c>
      <c r="AA29" s="60">
        <f t="shared" ca="1" si="4"/>
        <v>6474</v>
      </c>
      <c r="AB29" s="60">
        <f t="shared" ca="1" si="4"/>
        <v>6739</v>
      </c>
      <c r="AC29" s="310">
        <f t="shared" ca="1" si="4"/>
        <v>7162</v>
      </c>
    </row>
    <row r="30" spans="1:29" ht="16.5" customHeight="1">
      <c r="A30" s="127"/>
      <c r="B30" s="299" t="s">
        <v>279</v>
      </c>
      <c r="C30" s="49">
        <f ca="1">INDIRECT("'"&amp;コード表!$C$3&amp;"'!"&amp;コード表!$D92&amp;コード表!C$104)</f>
        <v>7303</v>
      </c>
      <c r="D30" s="49">
        <f ca="1">INDIRECT("'"&amp;コード表!$C$3&amp;"'!"&amp;コード表!$D92&amp;コード表!D$104)</f>
        <v>7111</v>
      </c>
      <c r="E30" s="49">
        <f ca="1">INDIRECT("'"&amp;コード表!$C$3&amp;"'!"&amp;コード表!$D92&amp;コード表!E$104)</f>
        <v>7225</v>
      </c>
      <c r="F30" s="49">
        <f ca="1">INDIRECT("'"&amp;コード表!$C$3&amp;"'!"&amp;コード表!$D92&amp;コード表!F$104)</f>
        <v>7259</v>
      </c>
      <c r="G30" s="49">
        <f ca="1">INDIRECT("'"&amp;コード表!$C$3&amp;"'!"&amp;コード表!$D92&amp;コード表!G$104)</f>
        <v>7417</v>
      </c>
      <c r="H30" s="49">
        <f ca="1">INDIRECT("'"&amp;コード表!$C$3&amp;"'!"&amp;コード表!$D92&amp;コード表!H$104)</f>
        <v>7429</v>
      </c>
      <c r="I30" s="49">
        <f ca="1">INDIRECT("'"&amp;コード表!$C$3&amp;"'!"&amp;コード表!$D92&amp;コード表!I$104)</f>
        <v>7410</v>
      </c>
      <c r="J30" s="49">
        <f ca="1">INDIRECT("'"&amp;コード表!$C$3&amp;"'!"&amp;コード表!$D92&amp;コード表!J$104)</f>
        <v>7375</v>
      </c>
      <c r="K30" s="49">
        <f ca="1">INDIRECT("'"&amp;コード表!$C$3&amp;"'!"&amp;コード表!$D92&amp;コード表!K$104)</f>
        <v>7104</v>
      </c>
      <c r="L30" s="49">
        <f ca="1">INDIRECT("'"&amp;コード表!$C$3&amp;"'!"&amp;コード表!$D92&amp;コード表!L$104)</f>
        <v>6474</v>
      </c>
      <c r="M30" s="49">
        <f ca="1">INDIRECT("'"&amp;コード表!$C$3&amp;"'!"&amp;コード表!$D92&amp;コード表!M$104)</f>
        <v>6739</v>
      </c>
      <c r="N30" s="300">
        <f ca="1">INDIRECT("'"&amp;コード表!$C$3&amp;"'!"&amp;コード表!$D92&amp;コード表!N$104)</f>
        <v>7162</v>
      </c>
      <c r="Q30" s="306" t="str">
        <f>$B$130</f>
        <v>沖 縄 県</v>
      </c>
      <c r="R30" s="60">
        <f ca="1">C158</f>
        <v>5878</v>
      </c>
      <c r="S30" s="60">
        <f t="shared" ref="S30:AC30" ca="1" si="5">D158</f>
        <v>5785</v>
      </c>
      <c r="T30" s="60">
        <f t="shared" ca="1" si="5"/>
        <v>5923</v>
      </c>
      <c r="U30" s="60">
        <f t="shared" ca="1" si="5"/>
        <v>5899</v>
      </c>
      <c r="V30" s="60">
        <f t="shared" ca="1" si="5"/>
        <v>6094</v>
      </c>
      <c r="W30" s="60">
        <f t="shared" ca="1" si="5"/>
        <v>6128</v>
      </c>
      <c r="X30" s="60">
        <f t="shared" ca="1" si="5"/>
        <v>6180</v>
      </c>
      <c r="Y30" s="60">
        <f t="shared" ca="1" si="5"/>
        <v>6177</v>
      </c>
      <c r="Z30" s="60">
        <f t="shared" ca="1" si="5"/>
        <v>6047</v>
      </c>
      <c r="AA30" s="60">
        <f t="shared" ca="1" si="5"/>
        <v>5733</v>
      </c>
      <c r="AB30" s="60">
        <f t="shared" ca="1" si="5"/>
        <v>5913</v>
      </c>
      <c r="AC30" s="310">
        <f t="shared" ca="1" si="5"/>
        <v>6088</v>
      </c>
    </row>
    <row r="31" spans="1:29" ht="16.5" customHeight="1">
      <c r="A31" s="131"/>
      <c r="B31" s="301" t="s">
        <v>280</v>
      </c>
      <c r="C31" s="39">
        <f ca="1">INDIRECT("'"&amp;コード表!$C$3&amp;"'!"&amp;コード表!$D93&amp;コード表!C$104)</f>
        <v>1248166.5223758647</v>
      </c>
      <c r="D31" s="39">
        <f ca="1">INDIRECT("'"&amp;コード表!$C$3&amp;"'!"&amp;コード表!$D93&amp;コード表!D$104)</f>
        <v>1246677.4670285857</v>
      </c>
      <c r="E31" s="39">
        <f ca="1">INDIRECT("'"&amp;コード表!$C$3&amp;"'!"&amp;コード表!$D93&amp;コード表!E$104)</f>
        <v>1283164.1165247303</v>
      </c>
      <c r="F31" s="39">
        <f ca="1">INDIRECT("'"&amp;コード表!$C$3&amp;"'!"&amp;コード表!$D93&amp;コード表!F$104)</f>
        <v>1289663.9001692208</v>
      </c>
      <c r="G31" s="39">
        <f ca="1">INDIRECT("'"&amp;コード表!$C$3&amp;"'!"&amp;コード表!$D93&amp;コード表!G$104)</f>
        <v>1325062.247354089</v>
      </c>
      <c r="H31" s="39">
        <f ca="1">INDIRECT("'"&amp;コード表!$C$3&amp;"'!"&amp;コード表!$D93&amp;コード表!H$104)</f>
        <v>1360906.4742973633</v>
      </c>
      <c r="I31" s="39">
        <f ca="1">INDIRECT("'"&amp;コード表!$C$3&amp;"'!"&amp;コード表!$D93&amp;コード表!I$104)</f>
        <v>1374540.2306729017</v>
      </c>
      <c r="J31" s="39">
        <f ca="1">INDIRECT("'"&amp;コード表!$C$3&amp;"'!"&amp;コード表!$D93&amp;コード表!J$104)</f>
        <v>1377657.776283022</v>
      </c>
      <c r="K31" s="39">
        <f ca="1">INDIRECT("'"&amp;コード表!$C$3&amp;"'!"&amp;コード表!$D93&amp;コード表!K$104)</f>
        <v>1353848.0089540491</v>
      </c>
      <c r="L31" s="39">
        <f ca="1">INDIRECT("'"&amp;コード表!$C$3&amp;"'!"&amp;コード表!$D93&amp;コード表!L$104)</f>
        <v>1224992.3331017012</v>
      </c>
      <c r="M31" s="39">
        <f ca="1">INDIRECT("'"&amp;コード表!$C$3&amp;"'!"&amp;コード表!$D93&amp;コード表!M$104)</f>
        <v>1282176.6906529935</v>
      </c>
      <c r="N31" s="302">
        <f ca="1">INDIRECT("'"&amp;コード表!$C$3&amp;"'!"&amp;コード表!$D93&amp;コード表!N$104)</f>
        <v>1334195.0796537655</v>
      </c>
      <c r="Q31" s="141" t="s">
        <v>286</v>
      </c>
      <c r="R31" s="330">
        <f ca="1">R29/R30*100</f>
        <v>124.24293977543381</v>
      </c>
      <c r="S31" s="330">
        <f t="shared" ref="S31:AC31" ca="1" si="6">S29/S30*100</f>
        <v>122.92134831460675</v>
      </c>
      <c r="T31" s="330">
        <f t="shared" ca="1" si="6"/>
        <v>121.98210366368394</v>
      </c>
      <c r="U31" s="330">
        <f t="shared" ca="1" si="6"/>
        <v>123.05475504322767</v>
      </c>
      <c r="V31" s="330">
        <f t="shared" ca="1" si="6"/>
        <v>121.70987856908435</v>
      </c>
      <c r="W31" s="330">
        <f t="shared" ca="1" si="6"/>
        <v>121.2304177545692</v>
      </c>
      <c r="X31" s="330">
        <f t="shared" ca="1" si="6"/>
        <v>119.90291262135922</v>
      </c>
      <c r="Y31" s="330">
        <f t="shared" ca="1" si="6"/>
        <v>119.39452808806865</v>
      </c>
      <c r="Z31" s="330">
        <f t="shared" ca="1" si="6"/>
        <v>117.47974202083678</v>
      </c>
      <c r="AA31" s="330">
        <f t="shared" ca="1" si="6"/>
        <v>112.9251700680272</v>
      </c>
      <c r="AB31" s="330">
        <f t="shared" ca="1" si="6"/>
        <v>113.96922036191444</v>
      </c>
      <c r="AC31" s="330">
        <f t="shared" ca="1" si="6"/>
        <v>117.64126149802891</v>
      </c>
    </row>
    <row r="32" spans="1:29" ht="16.5" customHeight="1"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ht="16.5" customHeight="1">
      <c r="A33" s="95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6.5" customHeight="1">
      <c r="A34" s="122" t="str">
        <f>A$2</f>
        <v>那　　覇</v>
      </c>
      <c r="B34" s="169" t="str">
        <f>B$2</f>
        <v>那 覇 市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</row>
    <row r="35" spans="1:14" ht="16.5" customHeight="1">
      <c r="A35" s="34" t="s">
        <v>270</v>
      </c>
      <c r="B35" s="108"/>
      <c r="C35" s="109"/>
      <c r="D35" s="109"/>
      <c r="E35" s="109"/>
      <c r="F35" s="2"/>
      <c r="G35" s="2"/>
      <c r="H35" s="1"/>
      <c r="I35" s="2"/>
      <c r="J35" s="2"/>
      <c r="K35" s="2"/>
      <c r="L35" s="2"/>
      <c r="M35" s="2"/>
      <c r="N35" s="2"/>
    </row>
    <row r="36" spans="1:14" ht="16.5" customHeight="1">
      <c r="A36" s="6"/>
      <c r="B36" s="7"/>
      <c r="C36" s="27">
        <f>C$4</f>
        <v>23</v>
      </c>
      <c r="D36" s="27">
        <f t="shared" ref="D36:N36" si="7">D$4</f>
        <v>24</v>
      </c>
      <c r="E36" s="27">
        <f t="shared" si="7"/>
        <v>25</v>
      </c>
      <c r="F36" s="27">
        <f t="shared" si="7"/>
        <v>26</v>
      </c>
      <c r="G36" s="27">
        <f t="shared" si="7"/>
        <v>27</v>
      </c>
      <c r="H36" s="27">
        <f t="shared" si="7"/>
        <v>28</v>
      </c>
      <c r="I36" s="27">
        <f t="shared" si="7"/>
        <v>29</v>
      </c>
      <c r="J36" s="27">
        <f t="shared" si="7"/>
        <v>30</v>
      </c>
      <c r="K36" s="27">
        <f t="shared" si="7"/>
        <v>1</v>
      </c>
      <c r="L36" s="27">
        <f t="shared" si="7"/>
        <v>2</v>
      </c>
      <c r="M36" s="27">
        <f t="shared" si="7"/>
        <v>3</v>
      </c>
      <c r="N36" s="27">
        <f t="shared" si="7"/>
        <v>4</v>
      </c>
    </row>
    <row r="37" spans="1:14" ht="16.5" customHeight="1">
      <c r="A37" s="12"/>
      <c r="B37" s="13"/>
      <c r="C37" s="28">
        <f>C$5</f>
        <v>2011</v>
      </c>
      <c r="D37" s="28">
        <f t="shared" ref="D37:N37" si="8">D$5</f>
        <v>2012</v>
      </c>
      <c r="E37" s="28">
        <f t="shared" si="8"/>
        <v>2013</v>
      </c>
      <c r="F37" s="28">
        <f t="shared" si="8"/>
        <v>2014</v>
      </c>
      <c r="G37" s="28">
        <f t="shared" si="8"/>
        <v>2015</v>
      </c>
      <c r="H37" s="28">
        <f t="shared" si="8"/>
        <v>2016</v>
      </c>
      <c r="I37" s="28">
        <f t="shared" si="8"/>
        <v>2017</v>
      </c>
      <c r="J37" s="28">
        <f t="shared" si="8"/>
        <v>2018</v>
      </c>
      <c r="K37" s="28">
        <f t="shared" si="8"/>
        <v>2019</v>
      </c>
      <c r="L37" s="28">
        <f t="shared" si="8"/>
        <v>2020</v>
      </c>
      <c r="M37" s="28">
        <f t="shared" si="8"/>
        <v>2021</v>
      </c>
      <c r="N37" s="28">
        <f t="shared" si="8"/>
        <v>2022</v>
      </c>
    </row>
    <row r="38" spans="1:14" ht="16.5" customHeight="1">
      <c r="A38" s="126" t="s">
        <v>159</v>
      </c>
      <c r="B38" s="23" t="s">
        <v>51</v>
      </c>
      <c r="C38" s="170"/>
      <c r="D38" s="31">
        <f t="shared" ref="D38:K38" ca="1" si="9">IF(C6="X","X",IF(D6="X","X",IF(C6&lt;&gt;0,ROUND((D6-C6)/ABS(C6)*100,3),"- ")))</f>
        <v>0</v>
      </c>
      <c r="E38" s="31">
        <f t="shared" ca="1" si="9"/>
        <v>-11.526</v>
      </c>
      <c r="F38" s="31">
        <f t="shared" ca="1" si="9"/>
        <v>-2.4649999999999999</v>
      </c>
      <c r="G38" s="31">
        <f t="shared" ca="1" si="9"/>
        <v>-8.6639999999999997</v>
      </c>
      <c r="H38" s="31">
        <f t="shared" ca="1" si="9"/>
        <v>26.481999999999999</v>
      </c>
      <c r="I38" s="31">
        <f t="shared" ca="1" si="9"/>
        <v>-6.875</v>
      </c>
      <c r="J38" s="31">
        <f t="shared" ca="1" si="9"/>
        <v>-5.3689999999999998</v>
      </c>
      <c r="K38" s="31">
        <f t="shared" ca="1" si="9"/>
        <v>10.284000000000001</v>
      </c>
      <c r="L38" s="31">
        <f t="shared" ref="L38:N61" ca="1" si="10">IF(K6="X","X",IF(L6="X","X",IF(K6&lt;&gt;0,ROUND((L6-K6)/ABS(K6)*100,3),"- ")))</f>
        <v>-8.6820000000000004</v>
      </c>
      <c r="M38" s="31">
        <f t="shared" ca="1" si="10"/>
        <v>11.62</v>
      </c>
      <c r="N38" s="31">
        <f t="shared" ca="1" si="10"/>
        <v>-14.510999999999999</v>
      </c>
    </row>
    <row r="39" spans="1:14" ht="16.5" customHeight="1">
      <c r="A39" s="126" t="s">
        <v>3</v>
      </c>
      <c r="B39" s="111" t="s">
        <v>52</v>
      </c>
      <c r="C39" s="171"/>
      <c r="D39" s="30">
        <f t="shared" ref="D39:K39" ca="1" si="11">IF(C7="X","X",IF(D7="X","X",IF(C7&lt;&gt;0,ROUND((D7-C7)/ABS(C7)*100,3),"- ")))</f>
        <v>0</v>
      </c>
      <c r="E39" s="30">
        <f t="shared" ca="1" si="11"/>
        <v>17.390999999999998</v>
      </c>
      <c r="F39" s="30">
        <f t="shared" ca="1" si="11"/>
        <v>18.518999999999998</v>
      </c>
      <c r="G39" s="30">
        <f t="shared" ca="1" si="11"/>
        <v>0</v>
      </c>
      <c r="H39" s="30">
        <f t="shared" ca="1" si="11"/>
        <v>9.375</v>
      </c>
      <c r="I39" s="30">
        <f t="shared" ca="1" si="11"/>
        <v>-2.8570000000000002</v>
      </c>
      <c r="J39" s="30">
        <f t="shared" ca="1" si="11"/>
        <v>5.8819999999999997</v>
      </c>
      <c r="K39" s="30">
        <f t="shared" ca="1" si="11"/>
        <v>27.777999999999999</v>
      </c>
      <c r="L39" s="30">
        <f t="shared" ca="1" si="10"/>
        <v>13.042999999999999</v>
      </c>
      <c r="M39" s="30">
        <f t="shared" ca="1" si="10"/>
        <v>1.923</v>
      </c>
      <c r="N39" s="30">
        <f t="shared" ca="1" si="10"/>
        <v>-13.208</v>
      </c>
    </row>
    <row r="40" spans="1:14" ht="16.5" customHeight="1">
      <c r="A40" s="126" t="s">
        <v>5</v>
      </c>
      <c r="B40" s="111" t="s">
        <v>53</v>
      </c>
      <c r="C40" s="171"/>
      <c r="D40" s="30">
        <f t="shared" ref="D40:K40" ca="1" si="12">IF(C8="X","X",IF(D8="X","X",IF(C8&lt;&gt;0,ROUND((D8-C8)/ABS(C8)*100,3),"- ")))</f>
        <v>17.684000000000001</v>
      </c>
      <c r="E40" s="30">
        <f t="shared" ca="1" si="12"/>
        <v>1.768</v>
      </c>
      <c r="F40" s="30">
        <f t="shared" ca="1" si="12"/>
        <v>-0.57899999999999996</v>
      </c>
      <c r="G40" s="30">
        <f t="shared" ca="1" si="12"/>
        <v>34.828000000000003</v>
      </c>
      <c r="H40" s="30">
        <f t="shared" ca="1" si="12"/>
        <v>-2.246</v>
      </c>
      <c r="I40" s="30">
        <f t="shared" ca="1" si="12"/>
        <v>10.826000000000001</v>
      </c>
      <c r="J40" s="30">
        <f t="shared" ca="1" si="12"/>
        <v>-1.4750000000000001</v>
      </c>
      <c r="K40" s="30">
        <f t="shared" ca="1" si="12"/>
        <v>-9.7530000000000001</v>
      </c>
      <c r="L40" s="30">
        <f t="shared" ca="1" si="10"/>
        <v>-27.757999999999999</v>
      </c>
      <c r="M40" s="30">
        <f t="shared" ca="1" si="10"/>
        <v>10.552</v>
      </c>
      <c r="N40" s="30">
        <f t="shared" ca="1" si="10"/>
        <v>-12.071999999999999</v>
      </c>
    </row>
    <row r="41" spans="1:14" ht="16.5" customHeight="1">
      <c r="A41" s="126" t="s">
        <v>7</v>
      </c>
      <c r="B41" s="23" t="s">
        <v>54</v>
      </c>
      <c r="C41" s="171"/>
      <c r="D41" s="30">
        <f t="shared" ref="D41:K41" ca="1" si="13">IF(C9="X","X",IF(D9="X","X",IF(C9&lt;&gt;0,ROUND((D9-C9)/ABS(C9)*100,3),"- ")))</f>
        <v>4.4690000000000003</v>
      </c>
      <c r="E41" s="30">
        <f t="shared" ca="1" si="13"/>
        <v>27.273</v>
      </c>
      <c r="F41" s="30">
        <f t="shared" ca="1" si="13"/>
        <v>21.007999999999999</v>
      </c>
      <c r="G41" s="30">
        <f t="shared" ca="1" si="13"/>
        <v>31.597000000000001</v>
      </c>
      <c r="H41" s="30">
        <f t="shared" ca="1" si="13"/>
        <v>8.9710000000000001</v>
      </c>
      <c r="I41" s="30">
        <f t="shared" ca="1" si="13"/>
        <v>15.981</v>
      </c>
      <c r="J41" s="30">
        <f t="shared" ca="1" si="13"/>
        <v>8.3510000000000009</v>
      </c>
      <c r="K41" s="30">
        <f t="shared" ca="1" si="13"/>
        <v>7.7069999999999999</v>
      </c>
      <c r="L41" s="30">
        <f t="shared" ca="1" si="10"/>
        <v>7.5129999999999999</v>
      </c>
      <c r="M41" s="30">
        <f t="shared" ca="1" si="10"/>
        <v>0.998</v>
      </c>
      <c r="N41" s="30">
        <f t="shared" ca="1" si="10"/>
        <v>22.405000000000001</v>
      </c>
    </row>
    <row r="42" spans="1:14" ht="16.5" customHeight="1">
      <c r="A42" s="126" t="s">
        <v>9</v>
      </c>
      <c r="B42" s="111" t="s">
        <v>55</v>
      </c>
      <c r="C42" s="171"/>
      <c r="D42" s="30">
        <f t="shared" ref="D42:K42" ca="1" si="14">IF(C10="X","X",IF(D10="X","X",IF(C10&lt;&gt;0,ROUND((D10-C10)/ABS(C10)*100,3),"- ")))</f>
        <v>-4.319</v>
      </c>
      <c r="E42" s="30">
        <f t="shared" ca="1" si="14"/>
        <v>1.4139999999999999</v>
      </c>
      <c r="F42" s="30">
        <f t="shared" ca="1" si="14"/>
        <v>-1.7649999999999999</v>
      </c>
      <c r="G42" s="30">
        <f t="shared" ca="1" si="14"/>
        <v>-7.2370000000000001</v>
      </c>
      <c r="H42" s="30">
        <f t="shared" ca="1" si="14"/>
        <v>-21.221</v>
      </c>
      <c r="I42" s="30">
        <f t="shared" ca="1" si="14"/>
        <v>34.826999999999998</v>
      </c>
      <c r="J42" s="30">
        <f t="shared" ca="1" si="14"/>
        <v>3.7959999999999998</v>
      </c>
      <c r="K42" s="30">
        <f t="shared" ca="1" si="14"/>
        <v>-17.102</v>
      </c>
      <c r="L42" s="30">
        <f t="shared" ca="1" si="10"/>
        <v>23.908000000000001</v>
      </c>
      <c r="M42" s="30">
        <f t="shared" ca="1" si="10"/>
        <v>-5.5659999999999998</v>
      </c>
      <c r="N42" s="30">
        <f t="shared" ca="1" si="10"/>
        <v>-3.1219999999999999</v>
      </c>
    </row>
    <row r="43" spans="1:14" ht="16.5" customHeight="1">
      <c r="A43" s="126" t="s">
        <v>11</v>
      </c>
      <c r="B43" s="111" t="s">
        <v>57</v>
      </c>
      <c r="C43" s="171"/>
      <c r="D43" s="30">
        <f t="shared" ref="D43:K43" ca="1" si="15">IF(C11="X","X",IF(D11="X","X",IF(C11&lt;&gt;0,ROUND((D11-C11)/ABS(C11)*100,3),"- ")))</f>
        <v>7.6559999999999997</v>
      </c>
      <c r="E43" s="30">
        <f t="shared" ca="1" si="15"/>
        <v>7.4850000000000003</v>
      </c>
      <c r="F43" s="30">
        <f t="shared" ca="1" si="15"/>
        <v>49.585999999999999</v>
      </c>
      <c r="G43" s="30">
        <f t="shared" ca="1" si="15"/>
        <v>11.5</v>
      </c>
      <c r="H43" s="30">
        <f t="shared" ca="1" si="15"/>
        <v>14.742000000000001</v>
      </c>
      <c r="I43" s="30">
        <f t="shared" ca="1" si="15"/>
        <v>-3.62</v>
      </c>
      <c r="J43" s="30">
        <f t="shared" ca="1" si="15"/>
        <v>-6.843</v>
      </c>
      <c r="K43" s="30">
        <f t="shared" ca="1" si="15"/>
        <v>-5.1189999999999998</v>
      </c>
      <c r="L43" s="30">
        <f t="shared" ca="1" si="10"/>
        <v>-19.132000000000001</v>
      </c>
      <c r="M43" s="30">
        <f t="shared" ca="1" si="10"/>
        <v>38.71</v>
      </c>
      <c r="N43" s="30">
        <f t="shared" ca="1" si="10"/>
        <v>-32.524999999999999</v>
      </c>
    </row>
    <row r="44" spans="1:14" ht="16.5" customHeight="1">
      <c r="A44" s="126" t="s">
        <v>13</v>
      </c>
      <c r="B44" s="111" t="s">
        <v>56</v>
      </c>
      <c r="C44" s="171"/>
      <c r="D44" s="30">
        <f t="shared" ref="D44:K44" ca="1" si="16">IF(C12="X","X",IF(D12="X","X",IF(C12&lt;&gt;0,ROUND((D12-C12)/ABS(C12)*100,3),"- ")))</f>
        <v>-2.0110000000000001</v>
      </c>
      <c r="E44" s="30">
        <f t="shared" ca="1" si="16"/>
        <v>-4.29</v>
      </c>
      <c r="F44" s="30">
        <f t="shared" ca="1" si="16"/>
        <v>23.129000000000001</v>
      </c>
      <c r="G44" s="30">
        <f t="shared" ca="1" si="16"/>
        <v>0.58199999999999996</v>
      </c>
      <c r="H44" s="30">
        <f t="shared" ca="1" si="16"/>
        <v>10.065</v>
      </c>
      <c r="I44" s="30">
        <f t="shared" ca="1" si="16"/>
        <v>-2.5840000000000001</v>
      </c>
      <c r="J44" s="30">
        <f t="shared" ca="1" si="16"/>
        <v>0.49099999999999999</v>
      </c>
      <c r="K44" s="30">
        <f t="shared" ca="1" si="16"/>
        <v>6.7949999999999999</v>
      </c>
      <c r="L44" s="30">
        <f t="shared" ca="1" si="10"/>
        <v>-0.80700000000000005</v>
      </c>
      <c r="M44" s="30">
        <f t="shared" ca="1" si="10"/>
        <v>2.0059999999999998</v>
      </c>
      <c r="N44" s="30">
        <f t="shared" ca="1" si="10"/>
        <v>-19.827000000000002</v>
      </c>
    </row>
    <row r="45" spans="1:14" ht="16.5" customHeight="1">
      <c r="A45" s="126" t="s">
        <v>15</v>
      </c>
      <c r="B45" s="111" t="s">
        <v>58</v>
      </c>
      <c r="C45" s="171"/>
      <c r="D45" s="30">
        <f t="shared" ref="D45:K45" ca="1" si="17">IF(C13="X","X",IF(D13="X","X",IF(C13&lt;&gt;0,ROUND((D13-C13)/ABS(C13)*100,3),"- ")))</f>
        <v>1.839</v>
      </c>
      <c r="E45" s="30">
        <f t="shared" ca="1" si="17"/>
        <v>3.343</v>
      </c>
      <c r="F45" s="30">
        <f t="shared" ca="1" si="17"/>
        <v>-1.2050000000000001</v>
      </c>
      <c r="G45" s="30">
        <f t="shared" ca="1" si="17"/>
        <v>0.70699999999999996</v>
      </c>
      <c r="H45" s="30">
        <f t="shared" ca="1" si="17"/>
        <v>-0.97499999999999998</v>
      </c>
      <c r="I45" s="30">
        <f t="shared" ca="1" si="17"/>
        <v>3.3340000000000001</v>
      </c>
      <c r="J45" s="30">
        <f t="shared" ca="1" si="17"/>
        <v>-0.755</v>
      </c>
      <c r="K45" s="30">
        <f t="shared" ca="1" si="17"/>
        <v>-2.766</v>
      </c>
      <c r="L45" s="30">
        <f t="shared" ca="1" si="10"/>
        <v>-6.9379999999999997</v>
      </c>
      <c r="M45" s="30">
        <f t="shared" ca="1" si="10"/>
        <v>6.2549999999999999</v>
      </c>
      <c r="N45" s="30">
        <f t="shared" ca="1" si="10"/>
        <v>4.6829999999999998</v>
      </c>
    </row>
    <row r="46" spans="1:14" ht="16.5" customHeight="1">
      <c r="A46" s="126" t="s">
        <v>16</v>
      </c>
      <c r="B46" s="111" t="s">
        <v>59</v>
      </c>
      <c r="C46" s="171"/>
      <c r="D46" s="30">
        <f t="shared" ref="D46:K46" ca="1" si="18">IF(C14="X","X",IF(D14="X","X",IF(C14&lt;&gt;0,ROUND((D14-C14)/ABS(C14)*100,3),"- ")))</f>
        <v>-10.154999999999999</v>
      </c>
      <c r="E46" s="30">
        <f t="shared" ca="1" si="18"/>
        <v>9.9649999999999999</v>
      </c>
      <c r="F46" s="30">
        <f t="shared" ca="1" si="18"/>
        <v>-4.1550000000000002</v>
      </c>
      <c r="G46" s="30">
        <f t="shared" ca="1" si="18"/>
        <v>3.0110000000000001</v>
      </c>
      <c r="H46" s="30">
        <f t="shared" ca="1" si="18"/>
        <v>9.73</v>
      </c>
      <c r="I46" s="30">
        <f t="shared" ca="1" si="18"/>
        <v>-0.47699999999999998</v>
      </c>
      <c r="J46" s="30">
        <f t="shared" ca="1" si="18"/>
        <v>-0.16900000000000001</v>
      </c>
      <c r="K46" s="30">
        <f t="shared" ca="1" si="18"/>
        <v>-3.84</v>
      </c>
      <c r="L46" s="30">
        <f t="shared" ca="1" si="10"/>
        <v>-49.466000000000001</v>
      </c>
      <c r="M46" s="30">
        <f t="shared" ca="1" si="10"/>
        <v>6.8789999999999996</v>
      </c>
      <c r="N46" s="30">
        <f t="shared" ca="1" si="10"/>
        <v>66.460999999999999</v>
      </c>
    </row>
    <row r="47" spans="1:14" ht="16.5" customHeight="1">
      <c r="A47" s="18">
        <v>10</v>
      </c>
      <c r="B47" s="111" t="s">
        <v>60</v>
      </c>
      <c r="C47" s="171"/>
      <c r="D47" s="30">
        <f t="shared" ref="D47:K47" ca="1" si="19">IF(C15="X","X",IF(D15="X","X",IF(C15&lt;&gt;0,ROUND((D15-C15)/ABS(C15)*100,3),"- ")))</f>
        <v>-2.411</v>
      </c>
      <c r="E47" s="30">
        <f t="shared" ca="1" si="19"/>
        <v>2.1389999999999998</v>
      </c>
      <c r="F47" s="30">
        <f t="shared" ca="1" si="19"/>
        <v>-1.8660000000000001</v>
      </c>
      <c r="G47" s="30">
        <f t="shared" ca="1" si="19"/>
        <v>1.92</v>
      </c>
      <c r="H47" s="30">
        <f t="shared" ca="1" si="19"/>
        <v>11.913</v>
      </c>
      <c r="I47" s="30">
        <f t="shared" ca="1" si="19"/>
        <v>4.2830000000000004</v>
      </c>
      <c r="J47" s="30">
        <f t="shared" ca="1" si="19"/>
        <v>2.093</v>
      </c>
      <c r="K47" s="30">
        <f t="shared" ca="1" si="19"/>
        <v>-6.6479999999999997</v>
      </c>
      <c r="L47" s="30">
        <f t="shared" ca="1" si="10"/>
        <v>-41.752000000000002</v>
      </c>
      <c r="M47" s="30">
        <f t="shared" ca="1" si="10"/>
        <v>-4.9349999999999996</v>
      </c>
      <c r="N47" s="30">
        <f t="shared" ca="1" si="10"/>
        <v>55.12</v>
      </c>
    </row>
    <row r="48" spans="1:14" ht="16.5" customHeight="1">
      <c r="A48" s="18">
        <v>11</v>
      </c>
      <c r="B48" s="111" t="s">
        <v>61</v>
      </c>
      <c r="C48" s="171"/>
      <c r="D48" s="30">
        <f t="shared" ref="D48:K48" ca="1" si="20">IF(C16="X","X",IF(D16="X","X",IF(C16&lt;&gt;0,ROUND((D16-C16)/ABS(C16)*100,3),"- ")))</f>
        <v>-5.7389999999999999</v>
      </c>
      <c r="E48" s="30">
        <f t="shared" ca="1" si="20"/>
        <v>-1.978</v>
      </c>
      <c r="F48" s="30">
        <f t="shared" ca="1" si="20"/>
        <v>-8.1359999999999992</v>
      </c>
      <c r="G48" s="30">
        <f t="shared" ca="1" si="20"/>
        <v>4.0750000000000002</v>
      </c>
      <c r="H48" s="30">
        <f t="shared" ca="1" si="20"/>
        <v>3.4849999999999999</v>
      </c>
      <c r="I48" s="30">
        <f t="shared" ca="1" si="20"/>
        <v>-2.4569999999999999</v>
      </c>
      <c r="J48" s="30">
        <f t="shared" ca="1" si="20"/>
        <v>0.60699999999999998</v>
      </c>
      <c r="K48" s="30">
        <f t="shared" ca="1" si="20"/>
        <v>-6.6070000000000002</v>
      </c>
      <c r="L48" s="30">
        <f t="shared" ca="1" si="10"/>
        <v>1.2999999999999999E-2</v>
      </c>
      <c r="M48" s="30">
        <f t="shared" ca="1" si="10"/>
        <v>-3.0609999999999999</v>
      </c>
      <c r="N48" s="30">
        <f t="shared" ca="1" si="10"/>
        <v>-2.4860000000000002</v>
      </c>
    </row>
    <row r="49" spans="1:14" ht="16.5" customHeight="1">
      <c r="A49" s="18">
        <v>12</v>
      </c>
      <c r="B49" s="111" t="s">
        <v>62</v>
      </c>
      <c r="C49" s="171"/>
      <c r="D49" s="30">
        <f t="shared" ref="D49:K49" ca="1" si="21">IF(C17="X","X",IF(D17="X","X",IF(C17&lt;&gt;0,ROUND((D17-C17)/ABS(C17)*100,3),"- ")))</f>
        <v>-3.319</v>
      </c>
      <c r="E49" s="30">
        <f t="shared" ca="1" si="21"/>
        <v>3.6379999999999999</v>
      </c>
      <c r="F49" s="30">
        <f t="shared" ca="1" si="21"/>
        <v>-0.66800000000000004</v>
      </c>
      <c r="G49" s="30">
        <f t="shared" ca="1" si="21"/>
        <v>-0.16500000000000001</v>
      </c>
      <c r="H49" s="30">
        <f t="shared" ca="1" si="21"/>
        <v>-8.4120000000000008</v>
      </c>
      <c r="I49" s="30">
        <f t="shared" ca="1" si="21"/>
        <v>1.954</v>
      </c>
      <c r="J49" s="30">
        <f t="shared" ca="1" si="21"/>
        <v>2.722</v>
      </c>
      <c r="K49" s="30">
        <f t="shared" ca="1" si="21"/>
        <v>3.6779999999999999</v>
      </c>
      <c r="L49" s="30">
        <f t="shared" ca="1" si="10"/>
        <v>-2.169</v>
      </c>
      <c r="M49" s="30">
        <f t="shared" ca="1" si="10"/>
        <v>3.58</v>
      </c>
      <c r="N49" s="30">
        <f t="shared" ca="1" si="10"/>
        <v>12.755000000000001</v>
      </c>
    </row>
    <row r="50" spans="1:14" ht="16.5" customHeight="1">
      <c r="A50" s="18">
        <v>13</v>
      </c>
      <c r="B50" s="111" t="s">
        <v>63</v>
      </c>
      <c r="C50" s="171"/>
      <c r="D50" s="30">
        <f t="shared" ref="D50:K50" ca="1" si="22">IF(C18="X","X",IF(D18="X","X",IF(C18&lt;&gt;0,ROUND((D18-C18)/ABS(C18)*100,3),"- ")))</f>
        <v>-0.875</v>
      </c>
      <c r="E50" s="30">
        <f t="shared" ca="1" si="22"/>
        <v>1.2250000000000001</v>
      </c>
      <c r="F50" s="30">
        <f t="shared" ca="1" si="22"/>
        <v>3.431</v>
      </c>
      <c r="G50" s="30">
        <f t="shared" ca="1" si="22"/>
        <v>-0.39</v>
      </c>
      <c r="H50" s="30">
        <f t="shared" ca="1" si="22"/>
        <v>1.262</v>
      </c>
      <c r="I50" s="30">
        <f t="shared" ca="1" si="22"/>
        <v>4.0449999999999999</v>
      </c>
      <c r="J50" s="30">
        <f t="shared" ca="1" si="22"/>
        <v>1.9590000000000001</v>
      </c>
      <c r="K50" s="30">
        <f t="shared" ca="1" si="22"/>
        <v>1.623</v>
      </c>
      <c r="L50" s="30">
        <f t="shared" ca="1" si="10"/>
        <v>2.1429999999999998</v>
      </c>
      <c r="M50" s="30">
        <f t="shared" ca="1" si="10"/>
        <v>0.308</v>
      </c>
      <c r="N50" s="30">
        <f t="shared" ca="1" si="10"/>
        <v>1.411</v>
      </c>
    </row>
    <row r="51" spans="1:14" ht="16.5" customHeight="1">
      <c r="A51" s="18">
        <v>14</v>
      </c>
      <c r="B51" s="111" t="s">
        <v>64</v>
      </c>
      <c r="C51" s="171"/>
      <c r="D51" s="30">
        <f t="shared" ref="D51:K51" ca="1" si="23">IF(C19="X","X",IF(D19="X","X",IF(C19&lt;&gt;0,ROUND((D19-C19)/ABS(C19)*100,3),"- ")))</f>
        <v>6.2830000000000004</v>
      </c>
      <c r="E51" s="30">
        <f t="shared" ca="1" si="23"/>
        <v>4.4509999999999996</v>
      </c>
      <c r="F51" s="30">
        <f t="shared" ca="1" si="23"/>
        <v>3.04</v>
      </c>
      <c r="G51" s="30">
        <f t="shared" ca="1" si="23"/>
        <v>9.577</v>
      </c>
      <c r="H51" s="30">
        <f t="shared" ca="1" si="23"/>
        <v>7.88</v>
      </c>
      <c r="I51" s="30">
        <f t="shared" ca="1" si="23"/>
        <v>-1.3360000000000001</v>
      </c>
      <c r="J51" s="30">
        <f t="shared" ca="1" si="23"/>
        <v>1.1739999999999999</v>
      </c>
      <c r="K51" s="30">
        <f t="shared" ca="1" si="23"/>
        <v>-2.0019999999999998</v>
      </c>
      <c r="L51" s="30">
        <f t="shared" ca="1" si="10"/>
        <v>1.1479999999999999</v>
      </c>
      <c r="M51" s="30">
        <f t="shared" ca="1" si="10"/>
        <v>6.633</v>
      </c>
      <c r="N51" s="30">
        <f t="shared" ca="1" si="10"/>
        <v>7.16</v>
      </c>
    </row>
    <row r="52" spans="1:14" ht="16.5" customHeight="1">
      <c r="A52" s="18">
        <v>15</v>
      </c>
      <c r="B52" s="111" t="s">
        <v>65</v>
      </c>
      <c r="C52" s="171"/>
      <c r="D52" s="30">
        <f t="shared" ref="D52:K52" ca="1" si="24">IF(C20="X","X",IF(D20="X","X",IF(C20&lt;&gt;0,ROUND((D20-C20)/ABS(C20)*100,3),"- ")))</f>
        <v>-0.82399999999999995</v>
      </c>
      <c r="E52" s="30">
        <f t="shared" ca="1" si="24"/>
        <v>-2.5529999999999999</v>
      </c>
      <c r="F52" s="30">
        <f t="shared" ca="1" si="24"/>
        <v>6.49</v>
      </c>
      <c r="G52" s="30">
        <f t="shared" ca="1" si="24"/>
        <v>3.6840000000000002</v>
      </c>
      <c r="H52" s="30">
        <f t="shared" ca="1" si="24"/>
        <v>1.482</v>
      </c>
      <c r="I52" s="30">
        <f t="shared" ca="1" si="24"/>
        <v>2.282</v>
      </c>
      <c r="J52" s="30">
        <f t="shared" ca="1" si="24"/>
        <v>2.911</v>
      </c>
      <c r="K52" s="30">
        <f t="shared" ca="1" si="24"/>
        <v>4.0709999999999997</v>
      </c>
      <c r="L52" s="30">
        <f t="shared" ca="1" si="10"/>
        <v>-6.4180000000000001</v>
      </c>
      <c r="M52" s="30">
        <f t="shared" ca="1" si="10"/>
        <v>2.3039999999999998</v>
      </c>
      <c r="N52" s="30">
        <f t="shared" ca="1" si="10"/>
        <v>1.6990000000000001</v>
      </c>
    </row>
    <row r="53" spans="1:14" ht="16.5" customHeight="1">
      <c r="A53" s="18">
        <v>16</v>
      </c>
      <c r="B53" s="111" t="s">
        <v>66</v>
      </c>
      <c r="C53" s="171"/>
      <c r="D53" s="30">
        <f t="shared" ref="D53:K53" ca="1" si="25">IF(C21="X","X",IF(D21="X","X",IF(C21&lt;&gt;0,ROUND((D21-C21)/ABS(C21)*100,3),"- ")))</f>
        <v>-0.66400000000000003</v>
      </c>
      <c r="E53" s="30">
        <f t="shared" ca="1" si="25"/>
        <v>-3.694</v>
      </c>
      <c r="F53" s="30">
        <f t="shared" ca="1" si="25"/>
        <v>0.35199999999999998</v>
      </c>
      <c r="G53" s="30">
        <f t="shared" ca="1" si="25"/>
        <v>1.3779999999999999</v>
      </c>
      <c r="H53" s="30">
        <f t="shared" ca="1" si="25"/>
        <v>0.22800000000000001</v>
      </c>
      <c r="I53" s="30">
        <f t="shared" ca="1" si="25"/>
        <v>3.8879999999999999</v>
      </c>
      <c r="J53" s="30">
        <f t="shared" ca="1" si="25"/>
        <v>2.3279999999999998</v>
      </c>
      <c r="K53" s="30">
        <f t="shared" ca="1" si="25"/>
        <v>1.1479999999999999</v>
      </c>
      <c r="L53" s="30">
        <f t="shared" ca="1" si="10"/>
        <v>3.2429999999999999</v>
      </c>
      <c r="M53" s="30">
        <f t="shared" ca="1" si="10"/>
        <v>3.7679999999999998</v>
      </c>
      <c r="N53" s="30">
        <f t="shared" ca="1" si="10"/>
        <v>3.4089999999999998</v>
      </c>
    </row>
    <row r="54" spans="1:14" ht="16.5" customHeight="1">
      <c r="A54" s="18">
        <v>17</v>
      </c>
      <c r="B54" s="111" t="s">
        <v>67</v>
      </c>
      <c r="C54" s="171"/>
      <c r="D54" s="30">
        <f t="shared" ref="D54:K54" ca="1" si="26">IF(C22="X","X",IF(D22="X","X",IF(C22&lt;&gt;0,ROUND((D22-C22)/ABS(C22)*100,3),"- ")))</f>
        <v>4.6070000000000002</v>
      </c>
      <c r="E54" s="30">
        <f t="shared" ca="1" si="26"/>
        <v>3.52</v>
      </c>
      <c r="F54" s="30">
        <f t="shared" ca="1" si="26"/>
        <v>1.1930000000000001</v>
      </c>
      <c r="G54" s="30">
        <f t="shared" ca="1" si="26"/>
        <v>9.0649999999999995</v>
      </c>
      <c r="H54" s="30">
        <f t="shared" ca="1" si="26"/>
        <v>5.1929999999999996</v>
      </c>
      <c r="I54" s="30">
        <f t="shared" ca="1" si="26"/>
        <v>1.1379999999999999</v>
      </c>
      <c r="J54" s="30">
        <f t="shared" ca="1" si="26"/>
        <v>3.778</v>
      </c>
      <c r="K54" s="30">
        <f t="shared" ca="1" si="26"/>
        <v>4.077</v>
      </c>
      <c r="L54" s="30">
        <f t="shared" ca="1" si="10"/>
        <v>0.97499999999999998</v>
      </c>
      <c r="M54" s="30">
        <f t="shared" ca="1" si="10"/>
        <v>4.79</v>
      </c>
      <c r="N54" s="30">
        <f t="shared" ca="1" si="10"/>
        <v>2.4830000000000001</v>
      </c>
    </row>
    <row r="55" spans="1:14" ht="16.5" customHeight="1">
      <c r="A55" s="18">
        <v>18</v>
      </c>
      <c r="B55" s="111" t="s">
        <v>68</v>
      </c>
      <c r="C55" s="171"/>
      <c r="D55" s="30">
        <f t="shared" ref="D55:K55" ca="1" si="27">IF(C23="X","X",IF(D23="X","X",IF(C23&lt;&gt;0,ROUND((D23-C23)/ABS(C23)*100,3),"- ")))</f>
        <v>2.9550000000000001</v>
      </c>
      <c r="E55" s="30">
        <f t="shared" ca="1" si="27"/>
        <v>-2.3730000000000002</v>
      </c>
      <c r="F55" s="30">
        <f t="shared" ca="1" si="27"/>
        <v>-0.78600000000000003</v>
      </c>
      <c r="G55" s="30">
        <f t="shared" ca="1" si="27"/>
        <v>0.2</v>
      </c>
      <c r="H55" s="30">
        <f t="shared" ca="1" si="27"/>
        <v>-1.675</v>
      </c>
      <c r="I55" s="30">
        <f t="shared" ca="1" si="27"/>
        <v>2.1349999999999998</v>
      </c>
      <c r="J55" s="30">
        <f t="shared" ca="1" si="27"/>
        <v>-0.81200000000000006</v>
      </c>
      <c r="K55" s="30">
        <f t="shared" ca="1" si="27"/>
        <v>-1.0089999999999999</v>
      </c>
      <c r="L55" s="30">
        <f t="shared" ca="1" si="10"/>
        <v>-7.681</v>
      </c>
      <c r="M55" s="30">
        <f t="shared" ca="1" si="10"/>
        <v>8.4109999999999996</v>
      </c>
      <c r="N55" s="30">
        <f t="shared" ca="1" si="10"/>
        <v>5.8289999999999997</v>
      </c>
    </row>
    <row r="56" spans="1:14" ht="16.5" customHeight="1">
      <c r="A56" s="33">
        <v>19</v>
      </c>
      <c r="B56" s="110" t="s">
        <v>70</v>
      </c>
      <c r="C56" s="172"/>
      <c r="D56" s="29">
        <f t="shared" ref="D56:K56" ca="1" si="28">IF(C24="X","X",IF(D24="X","X",IF(C24&lt;&gt;0,ROUND((D24-C24)/ABS(C24)*100,3),"- ")))</f>
        <v>-0.754</v>
      </c>
      <c r="E56" s="29">
        <f t="shared" ca="1" si="28"/>
        <v>2.0939999999999999</v>
      </c>
      <c r="F56" s="29">
        <f t="shared" ca="1" si="28"/>
        <v>2.7989999999999999</v>
      </c>
      <c r="G56" s="29">
        <f t="shared" ca="1" si="28"/>
        <v>3.8290000000000002</v>
      </c>
      <c r="H56" s="29">
        <f t="shared" ca="1" si="28"/>
        <v>3.7490000000000001</v>
      </c>
      <c r="I56" s="29">
        <f t="shared" ca="1" si="28"/>
        <v>1.1080000000000001</v>
      </c>
      <c r="J56" s="29">
        <f t="shared" ca="1" si="28"/>
        <v>0.871</v>
      </c>
      <c r="K56" s="29">
        <f t="shared" ca="1" si="28"/>
        <v>-0.73899999999999999</v>
      </c>
      <c r="L56" s="29">
        <f t="shared" ca="1" si="10"/>
        <v>-9.3629999999999995</v>
      </c>
      <c r="M56" s="29">
        <f t="shared" ca="1" si="10"/>
        <v>5.2750000000000004</v>
      </c>
      <c r="N56" s="29">
        <f t="shared" ca="1" si="10"/>
        <v>5.4509999999999996</v>
      </c>
    </row>
    <row r="57" spans="1:14" ht="16.5" customHeight="1" thickBot="1">
      <c r="A57" s="71">
        <v>20</v>
      </c>
      <c r="B57" s="113" t="s">
        <v>100</v>
      </c>
      <c r="C57" s="173"/>
      <c r="D57" s="174">
        <f t="shared" ref="D57:K57" ca="1" si="29">IF(C25="X","X",IF(D25="X","X",IF(C25&lt;&gt;0,ROUND((D25-C25)/ABS(C25)*100,3),"- ")))</f>
        <v>-6.6520000000000001</v>
      </c>
      <c r="E57" s="174">
        <f t="shared" ca="1" si="29"/>
        <v>-45.83</v>
      </c>
      <c r="F57" s="174">
        <f t="shared" ca="1" si="29"/>
        <v>-246.03899999999999</v>
      </c>
      <c r="G57" s="174">
        <f t="shared" ca="1" si="29"/>
        <v>-435.31200000000001</v>
      </c>
      <c r="H57" s="174">
        <f t="shared" ca="1" si="29"/>
        <v>-39.14</v>
      </c>
      <c r="I57" s="174">
        <f t="shared" ca="1" si="29"/>
        <v>-5.9909999999999997</v>
      </c>
      <c r="J57" s="174">
        <f t="shared" ca="1" si="29"/>
        <v>-6.5860000000000003</v>
      </c>
      <c r="K57" s="174">
        <f t="shared" ca="1" si="29"/>
        <v>-24.681000000000001</v>
      </c>
      <c r="L57" s="174">
        <f t="shared" ca="1" si="10"/>
        <v>15.151</v>
      </c>
      <c r="M57" s="174">
        <f t="shared" ca="1" si="10"/>
        <v>-19.742000000000001</v>
      </c>
      <c r="N57" s="174">
        <f t="shared" ca="1" si="10"/>
        <v>7.7969999999999997</v>
      </c>
    </row>
    <row r="58" spans="1:14" ht="16.5" customHeight="1" thickTop="1">
      <c r="A58" s="18">
        <v>21</v>
      </c>
      <c r="B58" s="111" t="s">
        <v>119</v>
      </c>
      <c r="C58" s="171"/>
      <c r="D58" s="30">
        <f t="shared" ref="D58:K58" ca="1" si="30">IF(C26="X","X",IF(D26="X","X",IF(C26&lt;&gt;0,ROUND((D26-C26)/ABS(C26)*100,3),"- ")))</f>
        <v>-0.76100000000000001</v>
      </c>
      <c r="E58" s="30">
        <f t="shared" ca="1" si="30"/>
        <v>2.0459999999999998</v>
      </c>
      <c r="F58" s="30">
        <f t="shared" ca="1" si="30"/>
        <v>2.665</v>
      </c>
      <c r="G58" s="30">
        <f t="shared" ca="1" si="30"/>
        <v>3.4990000000000001</v>
      </c>
      <c r="H58" s="30">
        <f t="shared" ca="1" si="30"/>
        <v>3.609</v>
      </c>
      <c r="I58" s="30">
        <f t="shared" ca="1" si="30"/>
        <v>1.0820000000000001</v>
      </c>
      <c r="J58" s="30">
        <f t="shared" ca="1" si="30"/>
        <v>0.83899999999999997</v>
      </c>
      <c r="K58" s="30">
        <f t="shared" ca="1" si="30"/>
        <v>-0.88800000000000001</v>
      </c>
      <c r="L58" s="30">
        <f t="shared" ca="1" si="10"/>
        <v>-9.3209999999999997</v>
      </c>
      <c r="M58" s="30">
        <f t="shared" ca="1" si="10"/>
        <v>5.1749999999999998</v>
      </c>
      <c r="N58" s="30">
        <f t="shared" ca="1" si="10"/>
        <v>5.5549999999999997</v>
      </c>
    </row>
    <row r="59" spans="1:14" ht="16.5" customHeight="1">
      <c r="A59" s="127" t="s">
        <v>158</v>
      </c>
      <c r="B59" s="128" t="s">
        <v>72</v>
      </c>
      <c r="C59" s="170"/>
      <c r="D59" s="31">
        <f t="shared" ref="D59:K59" ca="1" si="31">IF(C27="X","X",IF(D27="X","X",IF(C27&lt;&gt;0,ROUND((D27-C27)/ABS(C27)*100,3),"- ")))</f>
        <v>14.278</v>
      </c>
      <c r="E59" s="31">
        <f t="shared" ca="1" si="31"/>
        <v>-0.14699999999999999</v>
      </c>
      <c r="F59" s="31">
        <f t="shared" ca="1" si="31"/>
        <v>-0.58899999999999997</v>
      </c>
      <c r="G59" s="31">
        <f t="shared" ca="1" si="31"/>
        <v>28.332000000000001</v>
      </c>
      <c r="H59" s="31">
        <f t="shared" ca="1" si="31"/>
        <v>0.69199999999999995</v>
      </c>
      <c r="I59" s="31">
        <f t="shared" ca="1" si="31"/>
        <v>8.48</v>
      </c>
      <c r="J59" s="31">
        <f t="shared" ca="1" si="31"/>
        <v>-1.796</v>
      </c>
      <c r="K59" s="31">
        <f t="shared" ca="1" si="31"/>
        <v>-7.2430000000000003</v>
      </c>
      <c r="L59" s="31">
        <f t="shared" ca="1" si="10"/>
        <v>-24.739000000000001</v>
      </c>
      <c r="M59" s="31">
        <f t="shared" ca="1" si="10"/>
        <v>10.478</v>
      </c>
      <c r="N59" s="31">
        <f t="shared" ca="1" si="10"/>
        <v>-12.459</v>
      </c>
    </row>
    <row r="60" spans="1:14" ht="16.5" customHeight="1">
      <c r="A60" s="130" t="s">
        <v>147</v>
      </c>
      <c r="B60" s="111" t="s">
        <v>73</v>
      </c>
      <c r="C60" s="171"/>
      <c r="D60" s="30">
        <f t="shared" ref="D60:K60" ca="1" si="32">IF(C28="X","X",IF(D28="X","X",IF(C28&lt;&gt;0,ROUND((D28-C28)/ABS(C28)*100,3),"- ")))</f>
        <v>4.8330000000000002</v>
      </c>
      <c r="E60" s="30">
        <f t="shared" ca="1" si="32"/>
        <v>6.242</v>
      </c>
      <c r="F60" s="30">
        <f t="shared" ca="1" si="32"/>
        <v>38.975000000000001</v>
      </c>
      <c r="G60" s="30">
        <f t="shared" ca="1" si="32"/>
        <v>8.8510000000000009</v>
      </c>
      <c r="H60" s="30">
        <f t="shared" ca="1" si="32"/>
        <v>10.287000000000001</v>
      </c>
      <c r="I60" s="30">
        <f t="shared" ca="1" si="32"/>
        <v>-0.16200000000000001</v>
      </c>
      <c r="J60" s="30">
        <f t="shared" ca="1" si="32"/>
        <v>-5.5129999999999999</v>
      </c>
      <c r="K60" s="30">
        <f t="shared" ca="1" si="32"/>
        <v>-6.6210000000000004</v>
      </c>
      <c r="L60" s="30">
        <f t="shared" ca="1" si="10"/>
        <v>-13.99</v>
      </c>
      <c r="M60" s="30">
        <f t="shared" ca="1" si="10"/>
        <v>31.045999999999999</v>
      </c>
      <c r="N60" s="30">
        <f t="shared" ca="1" si="10"/>
        <v>-28.686</v>
      </c>
    </row>
    <row r="61" spans="1:14" ht="16.5" customHeight="1">
      <c r="A61" s="131" t="s">
        <v>148</v>
      </c>
      <c r="B61" s="112" t="s">
        <v>74</v>
      </c>
      <c r="C61" s="175"/>
      <c r="D61" s="32">
        <f t="shared" ref="D61:K62" ca="1" si="33">IF(C29="X","X",IF(D29="X","X",IF(C29&lt;&gt;0,ROUND((D29-C29)/ABS(C29)*100,3),"- ")))</f>
        <v>-1.0669999999999999</v>
      </c>
      <c r="E61" s="32">
        <f t="shared" ca="1" si="33"/>
        <v>1.871</v>
      </c>
      <c r="F61" s="32">
        <f t="shared" ca="1" si="33"/>
        <v>0.73299999999999998</v>
      </c>
      <c r="G61" s="32">
        <f t="shared" ca="1" si="33"/>
        <v>3.39</v>
      </c>
      <c r="H61" s="32">
        <f t="shared" ca="1" si="33"/>
        <v>3.2120000000000002</v>
      </c>
      <c r="I61" s="32">
        <f t="shared" ca="1" si="33"/>
        <v>1.206</v>
      </c>
      <c r="J61" s="32">
        <f t="shared" ca="1" si="33"/>
        <v>1.4359999999999999</v>
      </c>
      <c r="K61" s="32">
        <f t="shared" ca="1" si="33"/>
        <v>-0.24399999999999999</v>
      </c>
      <c r="L61" s="32">
        <f t="shared" ca="1" si="10"/>
        <v>-8.9789999999999992</v>
      </c>
      <c r="M61" s="32">
        <f t="shared" ca="1" si="10"/>
        <v>3.4039999999999999</v>
      </c>
      <c r="N61" s="32">
        <f t="shared" ca="1" si="10"/>
        <v>8.6080000000000005</v>
      </c>
    </row>
    <row r="62" spans="1:14" ht="16.5" customHeight="1">
      <c r="A62" s="127"/>
      <c r="B62" s="299" t="s">
        <v>279</v>
      </c>
      <c r="C62" s="303"/>
      <c r="D62" s="31">
        <f t="shared" ca="1" si="33"/>
        <v>-2.629</v>
      </c>
      <c r="E62" s="31">
        <f t="shared" ref="E62:E63" ca="1" si="34">IF(D30="X","X",IF(E30="X","X",IF(D30&lt;&gt;0,ROUND((E30-D30)/ABS(D30)*100,3),"- ")))</f>
        <v>1.603</v>
      </c>
      <c r="F62" s="31">
        <f t="shared" ref="F62:F63" ca="1" si="35">IF(E30="X","X",IF(F30="X","X",IF(E30&lt;&gt;0,ROUND((F30-E30)/ABS(E30)*100,3),"- ")))</f>
        <v>0.47099999999999997</v>
      </c>
      <c r="G62" s="31">
        <f t="shared" ref="G62:G63" ca="1" si="36">IF(F30="X","X",IF(G30="X","X",IF(F30&lt;&gt;0,ROUND((G30-F30)/ABS(F30)*100,3),"- ")))</f>
        <v>2.177</v>
      </c>
      <c r="H62" s="31">
        <f t="shared" ref="H62:H63" ca="1" si="37">IF(G30="X","X",IF(H30="X","X",IF(G30&lt;&gt;0,ROUND((H30-G30)/ABS(G30)*100,3),"- ")))</f>
        <v>0.16200000000000001</v>
      </c>
      <c r="I62" s="31">
        <f t="shared" ref="I62:I63" ca="1" si="38">IF(H30="X","X",IF(I30="X","X",IF(H30&lt;&gt;0,ROUND((I30-H30)/ABS(H30)*100,3),"- ")))</f>
        <v>-0.25600000000000001</v>
      </c>
      <c r="J62" s="31">
        <f t="shared" ref="J62:J63" ca="1" si="39">IF(I30="X","X",IF(J30="X","X",IF(I30&lt;&gt;0,ROUND((J30-I30)/ABS(I30)*100,3),"- ")))</f>
        <v>-0.47199999999999998</v>
      </c>
      <c r="K62" s="31">
        <f t="shared" ref="K62:K63" ca="1" si="40">IF(J30="X","X",IF(K30="X","X",IF(J30&lt;&gt;0,ROUND((K30-J30)/ABS(J30)*100,3),"- ")))</f>
        <v>-3.6749999999999998</v>
      </c>
      <c r="L62" s="31">
        <f t="shared" ref="L62:L63" ca="1" si="41">IF(K30="X","X",IF(L30="X","X",IF(K30&lt;&gt;0,ROUND((L30-K30)/ABS(K30)*100,3),"- ")))</f>
        <v>-8.8680000000000003</v>
      </c>
      <c r="M62" s="31">
        <f t="shared" ref="M62:M63" ca="1" si="42">IF(L30="X","X",IF(M30="X","X",IF(L30&lt;&gt;0,ROUND((M30-L30)/ABS(L30)*100,3),"- ")))</f>
        <v>4.093</v>
      </c>
      <c r="N62" s="31">
        <f t="shared" ref="N62:N63" ca="1" si="43">IF(M30="X","X",IF(N30="X","X",IF(M30&lt;&gt;0,ROUND((N30-M30)/ABS(M30)*100,3),"- ")))</f>
        <v>6.2770000000000001</v>
      </c>
    </row>
    <row r="63" spans="1:14" ht="16.5" customHeight="1">
      <c r="A63" s="131"/>
      <c r="B63" s="301" t="s">
        <v>280</v>
      </c>
      <c r="C63" s="304"/>
      <c r="D63" s="32">
        <f t="shared" ref="D63" ca="1" si="44">IF(C31="X","X",IF(D31="X","X",IF(C31&lt;&gt;0,ROUND((D31-C31)/ABS(C31)*100,3),"- ")))</f>
        <v>-0.11899999999999999</v>
      </c>
      <c r="E63" s="32">
        <f t="shared" ca="1" si="34"/>
        <v>2.927</v>
      </c>
      <c r="F63" s="32">
        <f t="shared" ca="1" si="35"/>
        <v>0.50700000000000001</v>
      </c>
      <c r="G63" s="32">
        <f t="shared" ca="1" si="36"/>
        <v>2.7450000000000001</v>
      </c>
      <c r="H63" s="32">
        <f t="shared" ca="1" si="37"/>
        <v>2.7050000000000001</v>
      </c>
      <c r="I63" s="32">
        <f t="shared" ca="1" si="38"/>
        <v>1.002</v>
      </c>
      <c r="J63" s="32">
        <f t="shared" ca="1" si="39"/>
        <v>0.22700000000000001</v>
      </c>
      <c r="K63" s="32">
        <f t="shared" ca="1" si="40"/>
        <v>-1.728</v>
      </c>
      <c r="L63" s="32">
        <f t="shared" ca="1" si="41"/>
        <v>-9.5180000000000007</v>
      </c>
      <c r="M63" s="32">
        <f t="shared" ca="1" si="42"/>
        <v>4.6680000000000001</v>
      </c>
      <c r="N63" s="32">
        <f t="shared" ca="1" si="43"/>
        <v>4.0570000000000004</v>
      </c>
    </row>
    <row r="64" spans="1:14" ht="16.5" customHeight="1"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21" ht="16.5" customHeight="1">
      <c r="A65" s="95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Q65" s="81" t="s">
        <v>106</v>
      </c>
    </row>
    <row r="66" spans="1:21" ht="16.5" customHeight="1">
      <c r="A66" s="122" t="str">
        <f>A$2</f>
        <v>那　　覇</v>
      </c>
      <c r="B66" s="169" t="str">
        <f>B$2</f>
        <v>那 覇 市</v>
      </c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Q66" s="204" t="str">
        <f>"("&amp;地域分析!$E$2&amp;")"</f>
        <v>(令和４年度)</v>
      </c>
    </row>
    <row r="67" spans="1:21" ht="16.5" customHeight="1">
      <c r="A67" s="34" t="s">
        <v>271</v>
      </c>
      <c r="B67" s="108"/>
      <c r="C67" s="109"/>
      <c r="D67" s="109"/>
      <c r="E67" s="109"/>
      <c r="F67" s="2"/>
      <c r="G67" s="2"/>
      <c r="H67" s="1"/>
      <c r="I67" s="2"/>
      <c r="J67" s="2"/>
      <c r="K67" s="2"/>
      <c r="L67" s="2"/>
      <c r="M67" s="2"/>
      <c r="N67" s="2"/>
      <c r="T67" s="24" t="s">
        <v>251</v>
      </c>
    </row>
    <row r="68" spans="1:21" ht="16.5" customHeight="1">
      <c r="A68" s="6"/>
      <c r="B68" s="7"/>
      <c r="C68" s="27">
        <f>C$4</f>
        <v>23</v>
      </c>
      <c r="D68" s="27">
        <f t="shared" ref="D68:N68" si="45">D$4</f>
        <v>24</v>
      </c>
      <c r="E68" s="27">
        <f t="shared" si="45"/>
        <v>25</v>
      </c>
      <c r="F68" s="27">
        <f t="shared" si="45"/>
        <v>26</v>
      </c>
      <c r="G68" s="27">
        <f t="shared" si="45"/>
        <v>27</v>
      </c>
      <c r="H68" s="27">
        <f t="shared" si="45"/>
        <v>28</v>
      </c>
      <c r="I68" s="27">
        <f t="shared" si="45"/>
        <v>29</v>
      </c>
      <c r="J68" s="27">
        <f t="shared" si="45"/>
        <v>30</v>
      </c>
      <c r="K68" s="27">
        <f t="shared" si="45"/>
        <v>1</v>
      </c>
      <c r="L68" s="27">
        <f t="shared" si="45"/>
        <v>2</v>
      </c>
      <c r="M68" s="27">
        <f t="shared" si="45"/>
        <v>3</v>
      </c>
      <c r="N68" s="27">
        <f t="shared" si="45"/>
        <v>4</v>
      </c>
      <c r="P68" s="73">
        <f ca="1">IF(R68="X","X",R68/$R$88*100)</f>
        <v>1.94421885447486E-2</v>
      </c>
      <c r="Q68" s="74" t="s">
        <v>51</v>
      </c>
      <c r="R68" s="230">
        <f ca="1">HLOOKUP(コード表!$K$108,地域分析BD!$C$4:$N$29,3,FALSE)</f>
        <v>271</v>
      </c>
      <c r="S68" s="222">
        <v>1</v>
      </c>
      <c r="T68" s="227" t="str">
        <f ca="1">VLOOKUP(U68,$P$68:$Q$85,2,0)&amp;CHAR(10)&amp;TEXT(U68,"0.0")&amp;"％"</f>
        <v>公務
14.7％</v>
      </c>
      <c r="U68" s="224">
        <f ca="1">LARGE($P$68:$P$85,1)</f>
        <v>14.68322863726759</v>
      </c>
    </row>
    <row r="69" spans="1:21" ht="16.5" customHeight="1">
      <c r="A69" s="12"/>
      <c r="B69" s="13"/>
      <c r="C69" s="28">
        <f>C$5</f>
        <v>2011</v>
      </c>
      <c r="D69" s="28">
        <f t="shared" ref="D69:N69" si="46">D$5</f>
        <v>2012</v>
      </c>
      <c r="E69" s="28">
        <f t="shared" si="46"/>
        <v>2013</v>
      </c>
      <c r="F69" s="28">
        <f t="shared" si="46"/>
        <v>2014</v>
      </c>
      <c r="G69" s="28">
        <f t="shared" si="46"/>
        <v>2015</v>
      </c>
      <c r="H69" s="28">
        <f t="shared" si="46"/>
        <v>2016</v>
      </c>
      <c r="I69" s="28">
        <f t="shared" si="46"/>
        <v>2017</v>
      </c>
      <c r="J69" s="28">
        <f t="shared" si="46"/>
        <v>2018</v>
      </c>
      <c r="K69" s="28">
        <f t="shared" si="46"/>
        <v>2019</v>
      </c>
      <c r="L69" s="28">
        <f t="shared" si="46"/>
        <v>2020</v>
      </c>
      <c r="M69" s="28">
        <f t="shared" si="46"/>
        <v>2021</v>
      </c>
      <c r="N69" s="28">
        <f t="shared" si="46"/>
        <v>2022</v>
      </c>
      <c r="P69" s="75">
        <f t="shared" ref="P69:P88" ca="1" si="47">IF(R69="X","X",R69/$R$88*100)</f>
        <v>3.3001500850864782E-3</v>
      </c>
      <c r="Q69" s="76" t="s">
        <v>52</v>
      </c>
      <c r="R69" s="231">
        <f ca="1">HLOOKUP(コード表!$K$108,地域分析BD!$C$4:$N$29,4,FALSE)</f>
        <v>46</v>
      </c>
      <c r="S69" s="222">
        <v>2</v>
      </c>
      <c r="T69" s="228" t="str">
        <f t="shared" ref="T69:T77" ca="1" si="48">VLOOKUP(U69,$P$68:$Q$85,2,0)&amp;CHAR(10)&amp;TEXT(U69,"0.0")&amp;"％"</f>
        <v>専門・科学、業務支援
14.6％</v>
      </c>
      <c r="U69" s="225">
        <f ca="1">LARGE($P$68:$P$85,2)</f>
        <v>14.6302827511199</v>
      </c>
    </row>
    <row r="70" spans="1:21" ht="16.5" customHeight="1">
      <c r="A70" s="126" t="s">
        <v>159</v>
      </c>
      <c r="B70" s="23" t="s">
        <v>51</v>
      </c>
      <c r="C70" s="53">
        <f t="shared" ref="C70:N70" ca="1" si="49">IF(C6="X","X",IF(C6=0,"-",ROUND(C6/C$26*100,1)))</f>
        <v>0</v>
      </c>
      <c r="D70" s="31">
        <f t="shared" ca="1" si="49"/>
        <v>0</v>
      </c>
      <c r="E70" s="31">
        <f t="shared" ca="1" si="49"/>
        <v>0</v>
      </c>
      <c r="F70" s="31">
        <f t="shared" ca="1" si="49"/>
        <v>0</v>
      </c>
      <c r="G70" s="31">
        <f t="shared" ca="1" si="49"/>
        <v>0</v>
      </c>
      <c r="H70" s="31">
        <f t="shared" ca="1" si="49"/>
        <v>0</v>
      </c>
      <c r="I70" s="31">
        <f t="shared" ca="1" si="49"/>
        <v>0</v>
      </c>
      <c r="J70" s="31">
        <f t="shared" ca="1" si="49"/>
        <v>0</v>
      </c>
      <c r="K70" s="31">
        <f t="shared" ca="1" si="49"/>
        <v>0</v>
      </c>
      <c r="L70" s="31">
        <f t="shared" ca="1" si="49"/>
        <v>0</v>
      </c>
      <c r="M70" s="31">
        <f t="shared" ca="1" si="49"/>
        <v>0</v>
      </c>
      <c r="N70" s="31">
        <f t="shared" ca="1" si="49"/>
        <v>0</v>
      </c>
      <c r="P70" s="75">
        <f t="shared" ca="1" si="47"/>
        <v>0.11234858767924837</v>
      </c>
      <c r="Q70" s="78" t="s">
        <v>53</v>
      </c>
      <c r="R70" s="232">
        <f ca="1">HLOOKUP(コード表!$K$108,地域分析BD!$C$4:$N$29,5,FALSE)</f>
        <v>1566</v>
      </c>
      <c r="S70" s="222">
        <v>3</v>
      </c>
      <c r="T70" s="228" t="str">
        <f t="shared" ca="1" si="48"/>
        <v>不動産業
10.7％</v>
      </c>
      <c r="U70" s="225">
        <f ca="1">LARGE($P$68:$P$85,3)</f>
        <v>10.71903096114719</v>
      </c>
    </row>
    <row r="71" spans="1:21" ht="16.5" customHeight="1">
      <c r="A71" s="126" t="s">
        <v>3</v>
      </c>
      <c r="B71" s="111" t="s">
        <v>52</v>
      </c>
      <c r="C71" s="54">
        <f t="shared" ref="C71:N71" ca="1" si="50">IF(C7="X","X",IF(C7=0,"-",ROUND(C7/C$26*100,1)))</f>
        <v>0</v>
      </c>
      <c r="D71" s="30">
        <f t="shared" ca="1" si="50"/>
        <v>0</v>
      </c>
      <c r="E71" s="30">
        <f t="shared" ca="1" si="50"/>
        <v>0</v>
      </c>
      <c r="F71" s="30">
        <f t="shared" ca="1" si="50"/>
        <v>0</v>
      </c>
      <c r="G71" s="30">
        <f t="shared" ca="1" si="50"/>
        <v>0</v>
      </c>
      <c r="H71" s="30">
        <f t="shared" ca="1" si="50"/>
        <v>0</v>
      </c>
      <c r="I71" s="30">
        <f t="shared" ca="1" si="50"/>
        <v>0</v>
      </c>
      <c r="J71" s="30">
        <f t="shared" ca="1" si="50"/>
        <v>0</v>
      </c>
      <c r="K71" s="30">
        <f t="shared" ca="1" si="50"/>
        <v>0</v>
      </c>
      <c r="L71" s="30">
        <f t="shared" ca="1" si="50"/>
        <v>0</v>
      </c>
      <c r="M71" s="30">
        <f t="shared" ca="1" si="50"/>
        <v>0</v>
      </c>
      <c r="N71" s="30">
        <f t="shared" ca="1" si="50"/>
        <v>0</v>
      </c>
      <c r="P71" s="73">
        <f t="shared" ca="1" si="47"/>
        <v>5.3304598113462026E-2</v>
      </c>
      <c r="Q71" s="74" t="s">
        <v>54</v>
      </c>
      <c r="R71" s="231">
        <f ca="1">HLOOKUP(コード表!$K$108,地域分析BD!$C$4:$N$29,6,FALSE)</f>
        <v>743</v>
      </c>
      <c r="S71" s="222">
        <v>4</v>
      </c>
      <c r="T71" s="228" t="str">
        <f t="shared" ca="1" si="48"/>
        <v>保健衛生・社会事業
9.5％</v>
      </c>
      <c r="U71" s="225">
        <f ca="1">LARGE($P$68:$P$85,4)</f>
        <v>9.4532799187302174</v>
      </c>
    </row>
    <row r="72" spans="1:21" ht="16.5" customHeight="1">
      <c r="A72" s="126" t="s">
        <v>5</v>
      </c>
      <c r="B72" s="111" t="s">
        <v>53</v>
      </c>
      <c r="C72" s="54">
        <f t="shared" ref="C72:N72" ca="1" si="51">IF(C8="X","X",IF(C8=0,"-",ROUND(C8/C$26*100,1)))</f>
        <v>0.1</v>
      </c>
      <c r="D72" s="30">
        <f t="shared" ca="1" si="51"/>
        <v>0.1</v>
      </c>
      <c r="E72" s="30">
        <f t="shared" ca="1" si="51"/>
        <v>0.1</v>
      </c>
      <c r="F72" s="30">
        <f t="shared" ca="1" si="51"/>
        <v>0.1</v>
      </c>
      <c r="G72" s="30">
        <f t="shared" ca="1" si="51"/>
        <v>0.2</v>
      </c>
      <c r="H72" s="30">
        <f t="shared" ca="1" si="51"/>
        <v>0.2</v>
      </c>
      <c r="I72" s="30">
        <f t="shared" ca="1" si="51"/>
        <v>0.2</v>
      </c>
      <c r="J72" s="30">
        <f t="shared" ca="1" si="51"/>
        <v>0.2</v>
      </c>
      <c r="K72" s="30">
        <f t="shared" ca="1" si="51"/>
        <v>0.2</v>
      </c>
      <c r="L72" s="30">
        <f t="shared" ca="1" si="51"/>
        <v>0.1</v>
      </c>
      <c r="M72" s="30">
        <f t="shared" ca="1" si="51"/>
        <v>0.1</v>
      </c>
      <c r="N72" s="30">
        <f t="shared" ca="1" si="51"/>
        <v>0.1</v>
      </c>
      <c r="P72" s="75">
        <f t="shared" ca="1" si="47"/>
        <v>0.93272285339585437</v>
      </c>
      <c r="Q72" s="76" t="s">
        <v>55</v>
      </c>
      <c r="R72" s="231">
        <f ca="1">HLOOKUP(コード表!$K$108,地域分析BD!$C$4:$N$29,7,FALSE)</f>
        <v>13001</v>
      </c>
      <c r="S72" s="222">
        <v>5</v>
      </c>
      <c r="T72" s="228" t="str">
        <f t="shared" ca="1" si="48"/>
        <v>運輸・郵便業
9.4％</v>
      </c>
      <c r="U72" s="225">
        <f ca="1">LARGE($P$68:$P$85,5)</f>
        <v>9.4032754707018409</v>
      </c>
    </row>
    <row r="73" spans="1:21" ht="16.5" customHeight="1">
      <c r="A73" s="126" t="s">
        <v>7</v>
      </c>
      <c r="B73" s="23" t="s">
        <v>54</v>
      </c>
      <c r="C73" s="54">
        <f t="shared" ref="C73:N73" ca="1" si="52">IF(C9="X","X",IF(C9=0,"-",ROUND(C9/C$26*100,1)))</f>
        <v>0</v>
      </c>
      <c r="D73" s="30">
        <f t="shared" ca="1" si="52"/>
        <v>0</v>
      </c>
      <c r="E73" s="30">
        <f t="shared" ca="1" si="52"/>
        <v>0</v>
      </c>
      <c r="F73" s="30">
        <f t="shared" ca="1" si="52"/>
        <v>0</v>
      </c>
      <c r="G73" s="30">
        <f t="shared" ca="1" si="52"/>
        <v>0</v>
      </c>
      <c r="H73" s="30">
        <f t="shared" ca="1" si="52"/>
        <v>0</v>
      </c>
      <c r="I73" s="30">
        <f t="shared" ca="1" si="52"/>
        <v>0</v>
      </c>
      <c r="J73" s="30">
        <f t="shared" ca="1" si="52"/>
        <v>0</v>
      </c>
      <c r="K73" s="30">
        <f t="shared" ca="1" si="52"/>
        <v>0</v>
      </c>
      <c r="L73" s="30">
        <f t="shared" ca="1" si="52"/>
        <v>0</v>
      </c>
      <c r="M73" s="30">
        <f t="shared" ca="1" si="52"/>
        <v>0</v>
      </c>
      <c r="N73" s="30">
        <f t="shared" ca="1" si="52"/>
        <v>0.1</v>
      </c>
      <c r="P73" s="77">
        <f t="shared" ca="1" si="47"/>
        <v>4.7164166683406563</v>
      </c>
      <c r="Q73" s="78" t="s">
        <v>57</v>
      </c>
      <c r="R73" s="231">
        <f ca="1">HLOOKUP(コード表!$K$108,地域分析BD!$C$4:$N$29,8,FALSE)</f>
        <v>65741</v>
      </c>
      <c r="S73" s="222">
        <v>6</v>
      </c>
      <c r="T73" s="228" t="str">
        <f t="shared" ca="1" si="48"/>
        <v>卸売・小売業
8.9％</v>
      </c>
      <c r="U73" s="225">
        <f ca="1">LARGE($P$68:$P$85,6)</f>
        <v>8.9168620451173553</v>
      </c>
    </row>
    <row r="74" spans="1:21" ht="16.5" customHeight="1">
      <c r="A74" s="126" t="s">
        <v>9</v>
      </c>
      <c r="B74" s="111" t="s">
        <v>55</v>
      </c>
      <c r="C74" s="54">
        <f t="shared" ref="C74:N74" ca="1" si="53">IF(C10="X","X",IF(C10=0,"-",ROUND(C10/C$26*100,1)))</f>
        <v>1.2</v>
      </c>
      <c r="D74" s="30">
        <f t="shared" ca="1" si="53"/>
        <v>1.1000000000000001</v>
      </c>
      <c r="E74" s="30">
        <f t="shared" ca="1" si="53"/>
        <v>1.1000000000000001</v>
      </c>
      <c r="F74" s="30">
        <f t="shared" ca="1" si="53"/>
        <v>1.1000000000000001</v>
      </c>
      <c r="G74" s="30">
        <f t="shared" ca="1" si="53"/>
        <v>0.9</v>
      </c>
      <c r="H74" s="30">
        <f t="shared" ca="1" si="53"/>
        <v>0.7</v>
      </c>
      <c r="I74" s="30">
        <f t="shared" ca="1" si="53"/>
        <v>1</v>
      </c>
      <c r="J74" s="30">
        <f t="shared" ca="1" si="53"/>
        <v>1</v>
      </c>
      <c r="K74" s="30">
        <f t="shared" ca="1" si="53"/>
        <v>0.8</v>
      </c>
      <c r="L74" s="30">
        <f t="shared" ca="1" si="53"/>
        <v>1.1000000000000001</v>
      </c>
      <c r="M74" s="30">
        <f t="shared" ca="1" si="53"/>
        <v>1</v>
      </c>
      <c r="N74" s="30">
        <f t="shared" ca="1" si="53"/>
        <v>0.9</v>
      </c>
      <c r="P74" s="75">
        <f t="shared" ca="1" si="47"/>
        <v>1.933529237894906</v>
      </c>
      <c r="Q74" s="85" t="s">
        <v>120</v>
      </c>
      <c r="R74" s="230">
        <f ca="1">HLOOKUP(コード表!$K$108,地域分析BD!$C$4:$N$29,9,FALSE)</f>
        <v>26951</v>
      </c>
      <c r="S74" s="222">
        <v>7</v>
      </c>
      <c r="T74" s="228" t="str">
        <f t="shared" ca="1" si="48"/>
        <v>金融・保険業
7.5％</v>
      </c>
      <c r="U74" s="225">
        <f ca="1">LARGE($P$68:$P$85,7)</f>
        <v>7.4792162287032715</v>
      </c>
    </row>
    <row r="75" spans="1:21" ht="16.5" customHeight="1">
      <c r="A75" s="126" t="s">
        <v>11</v>
      </c>
      <c r="B75" s="111" t="s">
        <v>57</v>
      </c>
      <c r="C75" s="54">
        <f t="shared" ref="C75:N75" ca="1" si="54">IF(C11="X","X",IF(C11=0,"-",ROUND(C11/C$26*100,1)))</f>
        <v>3.7</v>
      </c>
      <c r="D75" s="30">
        <f t="shared" ca="1" si="54"/>
        <v>4.0999999999999996</v>
      </c>
      <c r="E75" s="30">
        <f t="shared" ca="1" si="54"/>
        <v>4.3</v>
      </c>
      <c r="F75" s="30">
        <f t="shared" ca="1" si="54"/>
        <v>6.2</v>
      </c>
      <c r="G75" s="30">
        <f t="shared" ca="1" si="54"/>
        <v>6.7</v>
      </c>
      <c r="H75" s="30">
        <f t="shared" ca="1" si="54"/>
        <v>7.4</v>
      </c>
      <c r="I75" s="30">
        <f t="shared" ca="1" si="54"/>
        <v>7.1</v>
      </c>
      <c r="J75" s="30">
        <f t="shared" ca="1" si="54"/>
        <v>6.6</v>
      </c>
      <c r="K75" s="30">
        <f t="shared" ca="1" si="54"/>
        <v>6.3</v>
      </c>
      <c r="L75" s="30">
        <f t="shared" ca="1" si="54"/>
        <v>5.6</v>
      </c>
      <c r="M75" s="30">
        <f t="shared" ca="1" si="54"/>
        <v>7.4</v>
      </c>
      <c r="N75" s="30">
        <f t="shared" ca="1" si="54"/>
        <v>4.7</v>
      </c>
      <c r="P75" s="75">
        <f t="shared" ca="1" si="47"/>
        <v>8.9168620451173553</v>
      </c>
      <c r="Q75" s="84" t="s">
        <v>58</v>
      </c>
      <c r="R75" s="231">
        <f ca="1">HLOOKUP(コード表!$K$108,地域分析BD!$C$4:$N$29,10,FALSE)</f>
        <v>124290</v>
      </c>
      <c r="S75" s="222">
        <v>8</v>
      </c>
      <c r="T75" s="228" t="str">
        <f t="shared" ca="1" si="48"/>
        <v>情報通信業
6.6％</v>
      </c>
      <c r="U75" s="225">
        <f ca="1">LARGE($P$68:$P$85,8)</f>
        <v>6.596856535301562</v>
      </c>
    </row>
    <row r="76" spans="1:21" ht="16.5" customHeight="1">
      <c r="A76" s="126" t="s">
        <v>13</v>
      </c>
      <c r="B76" s="111" t="s">
        <v>56</v>
      </c>
      <c r="C76" s="54">
        <f t="shared" ref="C76:N76" ca="1" si="55">IF(C12="X","X",IF(C12=0,"-",ROUND(C12/C$26*100,1)))</f>
        <v>2</v>
      </c>
      <c r="D76" s="30">
        <f t="shared" ca="1" si="55"/>
        <v>2</v>
      </c>
      <c r="E76" s="30">
        <f t="shared" ca="1" si="55"/>
        <v>1.9</v>
      </c>
      <c r="F76" s="30">
        <f t="shared" ca="1" si="55"/>
        <v>2.2000000000000002</v>
      </c>
      <c r="G76" s="30">
        <f t="shared" ca="1" si="55"/>
        <v>2.2000000000000002</v>
      </c>
      <c r="H76" s="30">
        <f t="shared" ca="1" si="55"/>
        <v>2.2999999999999998</v>
      </c>
      <c r="I76" s="30">
        <f t="shared" ca="1" si="55"/>
        <v>2.2000000000000002</v>
      </c>
      <c r="J76" s="30">
        <f t="shared" ca="1" si="55"/>
        <v>2.2000000000000002</v>
      </c>
      <c r="K76" s="30">
        <f t="shared" ca="1" si="55"/>
        <v>2.4</v>
      </c>
      <c r="L76" s="30">
        <f t="shared" ca="1" si="55"/>
        <v>2.6</v>
      </c>
      <c r="M76" s="30">
        <f t="shared" ca="1" si="55"/>
        <v>2.5</v>
      </c>
      <c r="N76" s="30">
        <f t="shared" ca="1" si="55"/>
        <v>1.9</v>
      </c>
      <c r="P76" s="75">
        <f t="shared" ca="1" si="47"/>
        <v>9.4032754707018409</v>
      </c>
      <c r="Q76" s="84" t="s">
        <v>59</v>
      </c>
      <c r="R76" s="231">
        <f ca="1">HLOOKUP(コード表!$K$108,地域分析BD!$C$4:$N$29,11,FALSE)</f>
        <v>131070</v>
      </c>
      <c r="S76" s="222">
        <v>9</v>
      </c>
      <c r="T76" s="228" t="str">
        <f t="shared" ca="1" si="48"/>
        <v>建設業
4.7％</v>
      </c>
      <c r="U76" s="225">
        <f ca="1">LARGE($P$68:$P$85,9)</f>
        <v>4.7164166683406563</v>
      </c>
    </row>
    <row r="77" spans="1:21" ht="16.5" customHeight="1">
      <c r="A77" s="126" t="s">
        <v>15</v>
      </c>
      <c r="B77" s="111" t="s">
        <v>58</v>
      </c>
      <c r="C77" s="54">
        <f t="shared" ref="C77:N77" ca="1" si="56">IF(C13="X","X",IF(C13=0,"-",ROUND(C13/C$26*100,1)))</f>
        <v>9.4</v>
      </c>
      <c r="D77" s="30">
        <f t="shared" ca="1" si="56"/>
        <v>9.6999999999999993</v>
      </c>
      <c r="E77" s="30">
        <f t="shared" ca="1" si="56"/>
        <v>9.8000000000000007</v>
      </c>
      <c r="F77" s="30">
        <f t="shared" ca="1" si="56"/>
        <v>9.4</v>
      </c>
      <c r="G77" s="30">
        <f t="shared" ca="1" si="56"/>
        <v>9.1999999999999993</v>
      </c>
      <c r="H77" s="30">
        <f t="shared" ca="1" si="56"/>
        <v>8.8000000000000007</v>
      </c>
      <c r="I77" s="30">
        <f t="shared" ca="1" si="56"/>
        <v>9</v>
      </c>
      <c r="J77" s="30">
        <f t="shared" ca="1" si="56"/>
        <v>8.8000000000000007</v>
      </c>
      <c r="K77" s="30">
        <f t="shared" ca="1" si="56"/>
        <v>8.6999999999999993</v>
      </c>
      <c r="L77" s="30">
        <f t="shared" ca="1" si="56"/>
        <v>8.9</v>
      </c>
      <c r="M77" s="30">
        <f t="shared" ca="1" si="56"/>
        <v>9</v>
      </c>
      <c r="N77" s="30">
        <f t="shared" ca="1" si="56"/>
        <v>8.9</v>
      </c>
      <c r="P77" s="75">
        <f t="shared" ca="1" si="47"/>
        <v>3.4234035165251426</v>
      </c>
      <c r="Q77" s="84" t="s">
        <v>60</v>
      </c>
      <c r="R77" s="231">
        <f ca="1">HLOOKUP(コード表!$K$108,地域分析BD!$C$4:$N$29,12,FALSE)</f>
        <v>47718</v>
      </c>
      <c r="S77" s="222">
        <v>10</v>
      </c>
      <c r="T77" s="229" t="str">
        <f t="shared" ca="1" si="48"/>
        <v>その他のサービス
4.3％</v>
      </c>
      <c r="U77" s="226">
        <f ca="1">LARGE($P$68:$P$85,10)</f>
        <v>4.347804252315127</v>
      </c>
    </row>
    <row r="78" spans="1:21" ht="16.5" customHeight="1">
      <c r="A78" s="126" t="s">
        <v>16</v>
      </c>
      <c r="B78" s="111" t="s">
        <v>59</v>
      </c>
      <c r="C78" s="54">
        <f t="shared" ref="C78:N78" ca="1" si="57">IF(C14="X","X",IF(C14=0,"-",ROUND(C14/C$26*100,1)))</f>
        <v>11.6</v>
      </c>
      <c r="D78" s="30">
        <f t="shared" ca="1" si="57"/>
        <v>10.5</v>
      </c>
      <c r="E78" s="30">
        <f t="shared" ca="1" si="57"/>
        <v>11.3</v>
      </c>
      <c r="F78" s="30">
        <f t="shared" ca="1" si="57"/>
        <v>10.6</v>
      </c>
      <c r="G78" s="30">
        <f t="shared" ca="1" si="57"/>
        <v>10.5</v>
      </c>
      <c r="H78" s="30">
        <f t="shared" ca="1" si="57"/>
        <v>11.1</v>
      </c>
      <c r="I78" s="30">
        <f t="shared" ca="1" si="57"/>
        <v>11</v>
      </c>
      <c r="J78" s="30">
        <f t="shared" ca="1" si="57"/>
        <v>10.9</v>
      </c>
      <c r="K78" s="30">
        <f t="shared" ca="1" si="57"/>
        <v>10.5</v>
      </c>
      <c r="L78" s="30">
        <f t="shared" ca="1" si="57"/>
        <v>5.9</v>
      </c>
      <c r="M78" s="30">
        <f t="shared" ca="1" si="57"/>
        <v>6</v>
      </c>
      <c r="N78" s="30">
        <f t="shared" ca="1" si="57"/>
        <v>9.4</v>
      </c>
      <c r="P78" s="75">
        <f t="shared" ca="1" si="47"/>
        <v>6.596856535301562</v>
      </c>
      <c r="Q78" s="76" t="s">
        <v>61</v>
      </c>
      <c r="R78" s="231">
        <f ca="1">HLOOKUP(コード表!$K$108,地域分析BD!$C$4:$N$29,13,FALSE)</f>
        <v>91952</v>
      </c>
      <c r="S78" s="222" t="s">
        <v>250</v>
      </c>
      <c r="T78" s="223" t="str">
        <f ca="1">"その他"&amp;CHAR(10)&amp;TEXT(U78,"0.0")&amp;"％"</f>
        <v>その他
9.7％</v>
      </c>
      <c r="U78" s="226">
        <f ca="1">P86-SUM(U68:U77)</f>
        <v>9.7426169903205277</v>
      </c>
    </row>
    <row r="79" spans="1:21" ht="16.5" customHeight="1">
      <c r="A79" s="18">
        <v>10</v>
      </c>
      <c r="B79" s="111" t="s">
        <v>60</v>
      </c>
      <c r="C79" s="54">
        <f t="shared" ref="C79:N79" ca="1" si="58">IF(C15="X","X",IF(C15=0,"-",ROUND(C15/C$26*100,1)))</f>
        <v>4.0999999999999996</v>
      </c>
      <c r="D79" s="30">
        <f t="shared" ca="1" si="58"/>
        <v>4</v>
      </c>
      <c r="E79" s="30">
        <f t="shared" ca="1" si="58"/>
        <v>4</v>
      </c>
      <c r="F79" s="30">
        <f t="shared" ca="1" si="58"/>
        <v>3.8</v>
      </c>
      <c r="G79" s="30">
        <f t="shared" ca="1" si="58"/>
        <v>3.8</v>
      </c>
      <c r="H79" s="30">
        <f t="shared" ca="1" si="58"/>
        <v>4.0999999999999996</v>
      </c>
      <c r="I79" s="30">
        <f t="shared" ca="1" si="58"/>
        <v>4.2</v>
      </c>
      <c r="J79" s="30">
        <f t="shared" ca="1" si="58"/>
        <v>4.3</v>
      </c>
      <c r="K79" s="30">
        <f t="shared" ca="1" si="58"/>
        <v>4</v>
      </c>
      <c r="L79" s="30">
        <f t="shared" ca="1" si="58"/>
        <v>2.6</v>
      </c>
      <c r="M79" s="30">
        <f t="shared" ca="1" si="58"/>
        <v>2.2999999999999998</v>
      </c>
      <c r="N79" s="30">
        <f t="shared" ca="1" si="58"/>
        <v>3.4</v>
      </c>
      <c r="P79" s="75">
        <f t="shared" ca="1" si="47"/>
        <v>7.4792162287032715</v>
      </c>
      <c r="Q79" s="76" t="s">
        <v>62</v>
      </c>
      <c r="R79" s="231">
        <f ca="1">HLOOKUP(コード表!$K$108,地域分析BD!$C$4:$N$29,14,FALSE)</f>
        <v>104251</v>
      </c>
      <c r="S79" s="220"/>
      <c r="T79" s="221"/>
      <c r="U79" s="236" t="str">
        <f ca="1">IF(SUM(U68:U78)=P86,"OK","NG")</f>
        <v>OK</v>
      </c>
    </row>
    <row r="80" spans="1:21" ht="16.5" customHeight="1">
      <c r="A80" s="18">
        <v>11</v>
      </c>
      <c r="B80" s="111" t="s">
        <v>61</v>
      </c>
      <c r="C80" s="54">
        <f t="shared" ref="C80:N80" ca="1" si="59">IF(C16="X","X",IF(C16=0,"-",ROUND(C16/C$26*100,1)))</f>
        <v>9.4</v>
      </c>
      <c r="D80" s="30">
        <f t="shared" ca="1" si="59"/>
        <v>9</v>
      </c>
      <c r="E80" s="30">
        <f t="shared" ca="1" si="59"/>
        <v>8.6</v>
      </c>
      <c r="F80" s="30">
        <f t="shared" ca="1" si="59"/>
        <v>7.7</v>
      </c>
      <c r="G80" s="30">
        <f t="shared" ca="1" si="59"/>
        <v>7.8</v>
      </c>
      <c r="H80" s="30">
        <f t="shared" ca="1" si="59"/>
        <v>7.7</v>
      </c>
      <c r="I80" s="30">
        <f t="shared" ca="1" si="59"/>
        <v>7.5</v>
      </c>
      <c r="J80" s="30">
        <f t="shared" ca="1" si="59"/>
        <v>7.5</v>
      </c>
      <c r="K80" s="30">
        <f t="shared" ca="1" si="59"/>
        <v>7</v>
      </c>
      <c r="L80" s="30">
        <f t="shared" ca="1" si="59"/>
        <v>7.7</v>
      </c>
      <c r="M80" s="30">
        <f t="shared" ca="1" si="59"/>
        <v>7.1</v>
      </c>
      <c r="N80" s="30">
        <f t="shared" ca="1" si="59"/>
        <v>6.6</v>
      </c>
      <c r="P80" s="75">
        <f t="shared" ca="1" si="47"/>
        <v>10.71903096114719</v>
      </c>
      <c r="Q80" s="76" t="s">
        <v>63</v>
      </c>
      <c r="R80" s="231">
        <f ca="1">HLOOKUP(コード表!$K$108,地域分析BD!$C$4:$N$29,15,FALSE)</f>
        <v>149410</v>
      </c>
      <c r="S80" s="220"/>
      <c r="T80" s="221"/>
    </row>
    <row r="81" spans="1:20" ht="16.5" customHeight="1">
      <c r="A81" s="18">
        <v>12</v>
      </c>
      <c r="B81" s="111" t="s">
        <v>62</v>
      </c>
      <c r="C81" s="54">
        <f t="shared" ref="C81:N81" ca="1" si="60">IF(C17="X","X",IF(C17=0,"-",ROUND(C17/C$26*100,1)))</f>
        <v>7.5</v>
      </c>
      <c r="D81" s="30">
        <f t="shared" ca="1" si="60"/>
        <v>7.3</v>
      </c>
      <c r="E81" s="30">
        <f t="shared" ca="1" si="60"/>
        <v>7.4</v>
      </c>
      <c r="F81" s="30">
        <f t="shared" ca="1" si="60"/>
        <v>7.2</v>
      </c>
      <c r="G81" s="30">
        <f t="shared" ca="1" si="60"/>
        <v>6.9</v>
      </c>
      <c r="H81" s="30">
        <f t="shared" ca="1" si="60"/>
        <v>6.1</v>
      </c>
      <c r="I81" s="30">
        <f t="shared" ca="1" si="60"/>
        <v>6.2</v>
      </c>
      <c r="J81" s="30">
        <f t="shared" ca="1" si="60"/>
        <v>6.3</v>
      </c>
      <c r="K81" s="30">
        <f t="shared" ca="1" si="60"/>
        <v>6.6</v>
      </c>
      <c r="L81" s="30">
        <f t="shared" ca="1" si="60"/>
        <v>7.1</v>
      </c>
      <c r="M81" s="30">
        <f t="shared" ca="1" si="60"/>
        <v>7</v>
      </c>
      <c r="N81" s="30">
        <f t="shared" ca="1" si="60"/>
        <v>7.5</v>
      </c>
      <c r="P81" s="75">
        <f t="shared" ca="1" si="47"/>
        <v>14.6302827511199</v>
      </c>
      <c r="Q81" s="84" t="s">
        <v>257</v>
      </c>
      <c r="R81" s="231">
        <f ca="1">HLOOKUP(コード表!$K$108,地域分析BD!$C$4:$N$29,16,FALSE)</f>
        <v>203928</v>
      </c>
      <c r="S81" s="220"/>
      <c r="T81" s="221"/>
    </row>
    <row r="82" spans="1:20" ht="16.5" customHeight="1">
      <c r="A82" s="18">
        <v>13</v>
      </c>
      <c r="B82" s="111" t="s">
        <v>63</v>
      </c>
      <c r="C82" s="54">
        <f t="shared" ref="C82:N82" ca="1" si="61">IF(C18="X","X",IF(C18=0,"-",ROUND(C18/C$26*100,1)))</f>
        <v>10.4</v>
      </c>
      <c r="D82" s="30">
        <f t="shared" ca="1" si="61"/>
        <v>10.4</v>
      </c>
      <c r="E82" s="30">
        <f t="shared" ca="1" si="61"/>
        <v>10.3</v>
      </c>
      <c r="F82" s="30">
        <f t="shared" ca="1" si="61"/>
        <v>10.3</v>
      </c>
      <c r="G82" s="30">
        <f t="shared" ca="1" si="61"/>
        <v>10</v>
      </c>
      <c r="H82" s="30">
        <f t="shared" ca="1" si="61"/>
        <v>9.6999999999999993</v>
      </c>
      <c r="I82" s="30">
        <f t="shared" ca="1" si="61"/>
        <v>10</v>
      </c>
      <c r="J82" s="30">
        <f t="shared" ca="1" si="61"/>
        <v>10.1</v>
      </c>
      <c r="K82" s="30">
        <f t="shared" ca="1" si="61"/>
        <v>10.4</v>
      </c>
      <c r="L82" s="30">
        <f t="shared" ca="1" si="61"/>
        <v>11.7</v>
      </c>
      <c r="M82" s="30">
        <f t="shared" ca="1" si="61"/>
        <v>11.2</v>
      </c>
      <c r="N82" s="30">
        <f t="shared" ca="1" si="61"/>
        <v>10.7</v>
      </c>
      <c r="P82" s="75">
        <f t="shared" ca="1" si="47"/>
        <v>14.68322863726759</v>
      </c>
      <c r="Q82" s="76" t="s">
        <v>65</v>
      </c>
      <c r="R82" s="231">
        <f ca="1">HLOOKUP(コード表!$K$108,地域分析BD!$C$4:$N$29,17,FALSE)</f>
        <v>204666</v>
      </c>
      <c r="S82" s="220"/>
      <c r="T82" s="221"/>
    </row>
    <row r="83" spans="1:20" ht="16.5" customHeight="1">
      <c r="A83" s="18">
        <v>14</v>
      </c>
      <c r="B83" s="111" t="s">
        <v>64</v>
      </c>
      <c r="C83" s="54">
        <f t="shared" ref="C83:N83" ca="1" si="62">IF(C19="X","X",IF(C19=0,"-",ROUND(C19/C$26*100,1)))</f>
        <v>10.9</v>
      </c>
      <c r="D83" s="30">
        <f t="shared" ca="1" si="62"/>
        <v>11.6</v>
      </c>
      <c r="E83" s="30">
        <f t="shared" ca="1" si="62"/>
        <v>11.9</v>
      </c>
      <c r="F83" s="30">
        <f t="shared" ca="1" si="62"/>
        <v>11.9</v>
      </c>
      <c r="G83" s="30">
        <f t="shared" ca="1" si="62"/>
        <v>12.6</v>
      </c>
      <c r="H83" s="30">
        <f t="shared" ca="1" si="62"/>
        <v>13.2</v>
      </c>
      <c r="I83" s="30">
        <f t="shared" ca="1" si="62"/>
        <v>12.8</v>
      </c>
      <c r="J83" s="30">
        <f t="shared" ca="1" si="62"/>
        <v>12.9</v>
      </c>
      <c r="K83" s="30">
        <f t="shared" ca="1" si="62"/>
        <v>12.7</v>
      </c>
      <c r="L83" s="30">
        <f t="shared" ca="1" si="62"/>
        <v>14.2</v>
      </c>
      <c r="M83" s="30">
        <f t="shared" ca="1" si="62"/>
        <v>14.4</v>
      </c>
      <c r="N83" s="30">
        <f t="shared" ca="1" si="62"/>
        <v>14.6</v>
      </c>
      <c r="P83" s="75">
        <f t="shared" ca="1" si="47"/>
        <v>3.2645658580820678</v>
      </c>
      <c r="Q83" s="76" t="s">
        <v>66</v>
      </c>
      <c r="R83" s="231">
        <f ca="1">HLOOKUP(コード表!$K$108,地域分析BD!$C$4:$N$29,18,FALSE)</f>
        <v>45504</v>
      </c>
      <c r="S83" s="220"/>
      <c r="T83" s="221"/>
    </row>
    <row r="84" spans="1:20" ht="16.5" customHeight="1">
      <c r="A84" s="18">
        <v>15</v>
      </c>
      <c r="B84" s="111" t="s">
        <v>65</v>
      </c>
      <c r="C84" s="54">
        <f t="shared" ref="C84:N84" ca="1" si="63">IF(C20="X","X",IF(C20=0,"-",ROUND(C20/C$26*100,1)))</f>
        <v>14.4</v>
      </c>
      <c r="D84" s="30">
        <f t="shared" ca="1" si="63"/>
        <v>14.4</v>
      </c>
      <c r="E84" s="30">
        <f t="shared" ca="1" si="63"/>
        <v>13.8</v>
      </c>
      <c r="F84" s="30">
        <f t="shared" ca="1" si="63"/>
        <v>14.3</v>
      </c>
      <c r="G84" s="30">
        <f t="shared" ca="1" si="63"/>
        <v>14.3</v>
      </c>
      <c r="H84" s="30">
        <f t="shared" ca="1" si="63"/>
        <v>14</v>
      </c>
      <c r="I84" s="30">
        <f t="shared" ca="1" si="63"/>
        <v>14.2</v>
      </c>
      <c r="J84" s="30">
        <f t="shared" ca="1" si="63"/>
        <v>14.5</v>
      </c>
      <c r="K84" s="30">
        <f t="shared" ca="1" si="63"/>
        <v>15.2</v>
      </c>
      <c r="L84" s="30">
        <f t="shared" ca="1" si="63"/>
        <v>15.7</v>
      </c>
      <c r="M84" s="30">
        <f t="shared" ca="1" si="63"/>
        <v>15.2</v>
      </c>
      <c r="N84" s="30">
        <f t="shared" ca="1" si="63"/>
        <v>14.7</v>
      </c>
      <c r="P84" s="75">
        <f t="shared" ca="1" si="47"/>
        <v>9.4532799187302174</v>
      </c>
      <c r="Q84" s="84" t="s">
        <v>67</v>
      </c>
      <c r="R84" s="231">
        <f ca="1">HLOOKUP(コード表!$K$108,地域分析BD!$C$4:$N$29,19,FALSE)</f>
        <v>131767</v>
      </c>
      <c r="S84" s="220"/>
      <c r="T84" s="221"/>
    </row>
    <row r="85" spans="1:20" ht="16.5" customHeight="1">
      <c r="A85" s="18">
        <v>16</v>
      </c>
      <c r="B85" s="111" t="s">
        <v>66</v>
      </c>
      <c r="C85" s="54">
        <f t="shared" ref="C85:N85" ca="1" si="64">IF(C21="X","X",IF(C21=0,"-",ROUND(C21/C$26*100,1)))</f>
        <v>3.2</v>
      </c>
      <c r="D85" s="30">
        <f t="shared" ca="1" si="64"/>
        <v>3.2</v>
      </c>
      <c r="E85" s="30">
        <f t="shared" ca="1" si="64"/>
        <v>3</v>
      </c>
      <c r="F85" s="30">
        <f t="shared" ca="1" si="64"/>
        <v>2.9</v>
      </c>
      <c r="G85" s="30">
        <f t="shared" ca="1" si="64"/>
        <v>2.9</v>
      </c>
      <c r="H85" s="30">
        <f t="shared" ca="1" si="64"/>
        <v>2.8</v>
      </c>
      <c r="I85" s="30">
        <f t="shared" ca="1" si="64"/>
        <v>2.9</v>
      </c>
      <c r="J85" s="30">
        <f t="shared" ca="1" si="64"/>
        <v>2.9</v>
      </c>
      <c r="K85" s="30">
        <f t="shared" ca="1" si="64"/>
        <v>3</v>
      </c>
      <c r="L85" s="30">
        <f t="shared" ca="1" si="64"/>
        <v>3.4</v>
      </c>
      <c r="M85" s="30">
        <f t="shared" ca="1" si="64"/>
        <v>3.3</v>
      </c>
      <c r="N85" s="30">
        <f t="shared" ca="1" si="64"/>
        <v>3.3</v>
      </c>
      <c r="P85" s="75">
        <f t="shared" ca="1" si="47"/>
        <v>4.347804252315127</v>
      </c>
      <c r="Q85" s="86" t="s">
        <v>68</v>
      </c>
      <c r="R85" s="232">
        <f ca="1">HLOOKUP(コード表!$K$108,地域分析BD!$C$4:$N$29,20,FALSE)</f>
        <v>60603</v>
      </c>
      <c r="S85" s="220"/>
      <c r="T85" s="221"/>
    </row>
    <row r="86" spans="1:20" ht="16.5" customHeight="1">
      <c r="A86" s="18">
        <v>17</v>
      </c>
      <c r="B86" s="111" t="s">
        <v>67</v>
      </c>
      <c r="C86" s="54">
        <f t="shared" ref="C86:N86" ca="1" si="65">IF(C22="X","X",IF(C22=0,"-",ROUND(C22/C$26*100,1)))</f>
        <v>7.2</v>
      </c>
      <c r="D86" s="30">
        <f t="shared" ca="1" si="65"/>
        <v>7.6</v>
      </c>
      <c r="E86" s="30">
        <f t="shared" ca="1" si="65"/>
        <v>7.7</v>
      </c>
      <c r="F86" s="30">
        <f t="shared" ca="1" si="65"/>
        <v>7.6</v>
      </c>
      <c r="G86" s="30">
        <f t="shared" ca="1" si="65"/>
        <v>8</v>
      </c>
      <c r="H86" s="30">
        <f t="shared" ca="1" si="65"/>
        <v>8.1</v>
      </c>
      <c r="I86" s="30">
        <f t="shared" ca="1" si="65"/>
        <v>8.1</v>
      </c>
      <c r="J86" s="30">
        <f t="shared" ca="1" si="65"/>
        <v>8.4</v>
      </c>
      <c r="K86" s="30">
        <f t="shared" ca="1" si="65"/>
        <v>8.8000000000000007</v>
      </c>
      <c r="L86" s="30">
        <f t="shared" ca="1" si="65"/>
        <v>9.8000000000000007</v>
      </c>
      <c r="M86" s="30">
        <f t="shared" ca="1" si="65"/>
        <v>9.6999999999999993</v>
      </c>
      <c r="N86" s="30">
        <f t="shared" ca="1" si="65"/>
        <v>9.5</v>
      </c>
      <c r="P86" s="79">
        <f t="shared" ca="1" si="47"/>
        <v>100.68887045906523</v>
      </c>
      <c r="Q86" s="86" t="s">
        <v>70</v>
      </c>
      <c r="R86" s="232">
        <f ca="1">HLOOKUP(コード表!$K$108,地域分析BD!$C$4:$N$29,21,FALSE)</f>
        <v>1403478</v>
      </c>
    </row>
    <row r="87" spans="1:20" ht="16.5" customHeight="1" thickBot="1">
      <c r="A87" s="18">
        <v>18</v>
      </c>
      <c r="B87" s="111" t="s">
        <v>68</v>
      </c>
      <c r="C87" s="55">
        <f t="shared" ref="C87:N87" ca="1" si="66">IF(C23="X","X",IF(C23=0,"-",ROUND(C23/C$26*100,1)))</f>
        <v>4.7</v>
      </c>
      <c r="D87" s="32">
        <f t="shared" ca="1" si="66"/>
        <v>4.9000000000000004</v>
      </c>
      <c r="E87" s="32">
        <f t="shared" ca="1" si="66"/>
        <v>4.7</v>
      </c>
      <c r="F87" s="32">
        <f t="shared" ca="1" si="66"/>
        <v>4.5</v>
      </c>
      <c r="G87" s="32">
        <f t="shared" ca="1" si="66"/>
        <v>4.4000000000000004</v>
      </c>
      <c r="H87" s="32">
        <f t="shared" ca="1" si="66"/>
        <v>4.2</v>
      </c>
      <c r="I87" s="32">
        <f t="shared" ca="1" si="66"/>
        <v>4.2</v>
      </c>
      <c r="J87" s="32">
        <f t="shared" ca="1" si="66"/>
        <v>4.0999999999999996</v>
      </c>
      <c r="K87" s="32">
        <f t="shared" ca="1" si="66"/>
        <v>4.0999999999999996</v>
      </c>
      <c r="L87" s="32">
        <f t="shared" ca="1" si="66"/>
        <v>4.2</v>
      </c>
      <c r="M87" s="32">
        <f t="shared" ca="1" si="66"/>
        <v>4.3</v>
      </c>
      <c r="N87" s="32">
        <f t="shared" ca="1" si="66"/>
        <v>4.3</v>
      </c>
      <c r="P87" s="233">
        <f t="shared" ca="1" si="47"/>
        <v>-0.68887045906522537</v>
      </c>
      <c r="Q87" s="234" t="s">
        <v>100</v>
      </c>
      <c r="R87" s="235">
        <f ca="1">HLOOKUP(コード表!$K$108,地域分析BD!$C$4:$N$29,22,FALSE)</f>
        <v>-9602</v>
      </c>
    </row>
    <row r="88" spans="1:20" ht="16.5" customHeight="1" thickTop="1">
      <c r="A88" s="33">
        <v>19</v>
      </c>
      <c r="B88" s="110" t="s">
        <v>70</v>
      </c>
      <c r="C88" s="52">
        <f t="shared" ref="C88:N88" ca="1" si="67">IF(C24="X","X",IF(C24=0,"-",ROUND(C24/C$26*100,1)))</f>
        <v>99.9</v>
      </c>
      <c r="D88" s="29">
        <f t="shared" ca="1" si="67"/>
        <v>99.9</v>
      </c>
      <c r="E88" s="29">
        <f t="shared" ca="1" si="67"/>
        <v>99.9</v>
      </c>
      <c r="F88" s="29">
        <f t="shared" ca="1" si="67"/>
        <v>100.1</v>
      </c>
      <c r="G88" s="29">
        <f t="shared" ca="1" si="67"/>
        <v>100.4</v>
      </c>
      <c r="H88" s="29">
        <f t="shared" ca="1" si="67"/>
        <v>100.5</v>
      </c>
      <c r="I88" s="29">
        <f t="shared" ca="1" si="67"/>
        <v>100.6</v>
      </c>
      <c r="J88" s="29">
        <f t="shared" ca="1" si="67"/>
        <v>100.6</v>
      </c>
      <c r="K88" s="29">
        <f t="shared" ca="1" si="67"/>
        <v>100.7</v>
      </c>
      <c r="L88" s="29">
        <f t="shared" ca="1" si="67"/>
        <v>100.7</v>
      </c>
      <c r="M88" s="29">
        <f t="shared" ca="1" si="67"/>
        <v>100.8</v>
      </c>
      <c r="N88" s="29">
        <f t="shared" ca="1" si="67"/>
        <v>100.7</v>
      </c>
      <c r="P88" s="77">
        <f t="shared" ca="1" si="47"/>
        <v>100</v>
      </c>
      <c r="Q88" s="86" t="s">
        <v>119</v>
      </c>
      <c r="R88" s="232">
        <f ca="1">HLOOKUP(コード表!$K$108,地域分析BD!$C$4:$N$29,23,FALSE)</f>
        <v>1393876</v>
      </c>
    </row>
    <row r="89" spans="1:20" ht="16.5" customHeight="1" thickBot="1">
      <c r="A89" s="71">
        <v>20</v>
      </c>
      <c r="B89" s="113" t="s">
        <v>100</v>
      </c>
      <c r="C89" s="176">
        <f t="shared" ref="C89:N89" ca="1" si="68">IF(C25="X","X",IF(C25=0,"-",ROUND(C25/C$26*100,1)))</f>
        <v>0.1</v>
      </c>
      <c r="D89" s="174">
        <f t="shared" ca="1" si="68"/>
        <v>0.1</v>
      </c>
      <c r="E89" s="174">
        <f t="shared" ca="1" si="68"/>
        <v>0.1</v>
      </c>
      <c r="F89" s="174">
        <f t="shared" ca="1" si="68"/>
        <v>-0.1</v>
      </c>
      <c r="G89" s="174">
        <f t="shared" ca="1" si="68"/>
        <v>-0.4</v>
      </c>
      <c r="H89" s="174">
        <f t="shared" ca="1" si="68"/>
        <v>-0.5</v>
      </c>
      <c r="I89" s="174">
        <f t="shared" ca="1" si="68"/>
        <v>-0.6</v>
      </c>
      <c r="J89" s="174">
        <f t="shared" ca="1" si="68"/>
        <v>-0.6</v>
      </c>
      <c r="K89" s="174">
        <f t="shared" ca="1" si="68"/>
        <v>-0.7</v>
      </c>
      <c r="L89" s="174">
        <f t="shared" ca="1" si="68"/>
        <v>-0.7</v>
      </c>
      <c r="M89" s="174">
        <f t="shared" ca="1" si="68"/>
        <v>-0.8</v>
      </c>
      <c r="N89" s="174">
        <f t="shared" ca="1" si="68"/>
        <v>-0.7</v>
      </c>
    </row>
    <row r="90" spans="1:20" ht="16.5" customHeight="1" thickTop="1">
      <c r="A90" s="18">
        <v>21</v>
      </c>
      <c r="B90" s="111" t="s">
        <v>119</v>
      </c>
      <c r="C90" s="55">
        <f t="shared" ref="C90:N90" ca="1" si="69">IF(C26="X","X",IF(C26=0,"-",ROUND(C26/C$26*100,1)))</f>
        <v>100</v>
      </c>
      <c r="D90" s="32">
        <f t="shared" ca="1" si="69"/>
        <v>100</v>
      </c>
      <c r="E90" s="32">
        <f t="shared" ca="1" si="69"/>
        <v>100</v>
      </c>
      <c r="F90" s="32">
        <f t="shared" ca="1" si="69"/>
        <v>100</v>
      </c>
      <c r="G90" s="32">
        <f t="shared" ca="1" si="69"/>
        <v>100</v>
      </c>
      <c r="H90" s="32">
        <f t="shared" ca="1" si="69"/>
        <v>100</v>
      </c>
      <c r="I90" s="32">
        <f t="shared" ca="1" si="69"/>
        <v>100</v>
      </c>
      <c r="J90" s="32">
        <f t="shared" ca="1" si="69"/>
        <v>100</v>
      </c>
      <c r="K90" s="32">
        <f t="shared" ca="1" si="69"/>
        <v>100</v>
      </c>
      <c r="L90" s="32">
        <f t="shared" ca="1" si="69"/>
        <v>100</v>
      </c>
      <c r="M90" s="32">
        <f t="shared" ca="1" si="69"/>
        <v>100</v>
      </c>
      <c r="N90" s="32">
        <f t="shared" ca="1" si="69"/>
        <v>100</v>
      </c>
    </row>
    <row r="91" spans="1:20" ht="16.5" customHeight="1">
      <c r="A91" s="127" t="s">
        <v>158</v>
      </c>
      <c r="B91" s="128" t="s">
        <v>72</v>
      </c>
      <c r="C91" s="54">
        <f t="shared" ref="C91:N91" ca="1" si="70">IF(C27="X","X",IF(C27=0,"-",ROUND(C27/C$26*100,1)))</f>
        <v>0.1</v>
      </c>
      <c r="D91" s="30">
        <f t="shared" ca="1" si="70"/>
        <v>0.2</v>
      </c>
      <c r="E91" s="30">
        <f t="shared" ca="1" si="70"/>
        <v>0.2</v>
      </c>
      <c r="F91" s="30">
        <f t="shared" ca="1" si="70"/>
        <v>0.2</v>
      </c>
      <c r="G91" s="30">
        <f t="shared" ca="1" si="70"/>
        <v>0.2</v>
      </c>
      <c r="H91" s="30">
        <f t="shared" ca="1" si="70"/>
        <v>0.2</v>
      </c>
      <c r="I91" s="30">
        <f t="shared" ca="1" si="70"/>
        <v>0.2</v>
      </c>
      <c r="J91" s="30">
        <f t="shared" ca="1" si="70"/>
        <v>0.2</v>
      </c>
      <c r="K91" s="30">
        <f t="shared" ca="1" si="70"/>
        <v>0.2</v>
      </c>
      <c r="L91" s="30">
        <f t="shared" ca="1" si="70"/>
        <v>0.2</v>
      </c>
      <c r="M91" s="30">
        <f t="shared" ca="1" si="70"/>
        <v>0.2</v>
      </c>
      <c r="N91" s="30">
        <f t="shared" ca="1" si="70"/>
        <v>0.1</v>
      </c>
    </row>
    <row r="92" spans="1:20" ht="16.5" customHeight="1">
      <c r="A92" s="130" t="s">
        <v>147</v>
      </c>
      <c r="B92" s="111" t="s">
        <v>73</v>
      </c>
      <c r="C92" s="54">
        <f t="shared" ref="C92:N92" ca="1" si="71">IF(C28="X","X",IF(C28=0,"-",ROUND(C28/C$26*100,1)))</f>
        <v>4.9000000000000004</v>
      </c>
      <c r="D92" s="30">
        <f t="shared" ca="1" si="71"/>
        <v>5.2</v>
      </c>
      <c r="E92" s="30">
        <f t="shared" ca="1" si="71"/>
        <v>5.4</v>
      </c>
      <c r="F92" s="30">
        <f t="shared" ca="1" si="71"/>
        <v>7.3</v>
      </c>
      <c r="G92" s="30">
        <f t="shared" ca="1" si="71"/>
        <v>7.7</v>
      </c>
      <c r="H92" s="30">
        <f t="shared" ca="1" si="71"/>
        <v>8.1999999999999993</v>
      </c>
      <c r="I92" s="30">
        <f t="shared" ca="1" si="71"/>
        <v>8.1</v>
      </c>
      <c r="J92" s="30">
        <f t="shared" ca="1" si="71"/>
        <v>7.6</v>
      </c>
      <c r="K92" s="30">
        <f t="shared" ca="1" si="71"/>
        <v>7.1</v>
      </c>
      <c r="L92" s="30">
        <f t="shared" ca="1" si="71"/>
        <v>6.8</v>
      </c>
      <c r="M92" s="30">
        <f t="shared" ca="1" si="71"/>
        <v>8.4</v>
      </c>
      <c r="N92" s="30">
        <f t="shared" ca="1" si="71"/>
        <v>5.7</v>
      </c>
    </row>
    <row r="93" spans="1:20" ht="16.5" customHeight="1">
      <c r="A93" s="131" t="s">
        <v>148</v>
      </c>
      <c r="B93" s="112" t="s">
        <v>74</v>
      </c>
      <c r="C93" s="55">
        <f t="shared" ref="C93:N93" ca="1" si="72">IF(C29="X","X",IF(C29=0,"-",ROUND(C29/C$26*100,1)))</f>
        <v>94.8</v>
      </c>
      <c r="D93" s="32">
        <f t="shared" ca="1" si="72"/>
        <v>94.5</v>
      </c>
      <c r="E93" s="32">
        <f t="shared" ca="1" si="72"/>
        <v>94.4</v>
      </c>
      <c r="F93" s="32">
        <f t="shared" ca="1" si="72"/>
        <v>92.6</v>
      </c>
      <c r="G93" s="32">
        <f t="shared" ca="1" si="72"/>
        <v>92.5</v>
      </c>
      <c r="H93" s="32">
        <f t="shared" ca="1" si="72"/>
        <v>92.1</v>
      </c>
      <c r="I93" s="32">
        <f t="shared" ca="1" si="72"/>
        <v>92.3</v>
      </c>
      <c r="J93" s="32">
        <f t="shared" ca="1" si="72"/>
        <v>92.8</v>
      </c>
      <c r="K93" s="32">
        <f t="shared" ca="1" si="72"/>
        <v>93.4</v>
      </c>
      <c r="L93" s="32">
        <f t="shared" ca="1" si="72"/>
        <v>93.8</v>
      </c>
      <c r="M93" s="32">
        <f t="shared" ca="1" si="72"/>
        <v>92.2</v>
      </c>
      <c r="N93" s="32">
        <f t="shared" ca="1" si="72"/>
        <v>94.9</v>
      </c>
      <c r="O93" s="3"/>
    </row>
    <row r="94" spans="1:20" ht="16.5" customHeight="1">
      <c r="A94" s="127"/>
      <c r="B94" s="299" t="s">
        <v>279</v>
      </c>
      <c r="C94" s="53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118"/>
    </row>
    <row r="95" spans="1:20" ht="16.5" customHeight="1">
      <c r="A95" s="131"/>
      <c r="B95" s="301" t="s">
        <v>280</v>
      </c>
      <c r="C95" s="55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2"/>
    </row>
    <row r="96" spans="1:20" ht="16.5" customHeight="1">
      <c r="B96" s="25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179"/>
    </row>
    <row r="97" spans="1:15" ht="16.5" customHeight="1">
      <c r="A97" s="95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180"/>
    </row>
    <row r="98" spans="1:15" ht="16.5" customHeight="1">
      <c r="A98" s="122" t="str">
        <f>A$2</f>
        <v>那　　覇</v>
      </c>
      <c r="B98" s="169" t="str">
        <f>B$2</f>
        <v>那 覇 市</v>
      </c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30"/>
    </row>
    <row r="99" spans="1:15" ht="16.5" customHeight="1">
      <c r="A99" s="34" t="s">
        <v>272</v>
      </c>
      <c r="B99" s="108"/>
      <c r="C99" s="109"/>
      <c r="D99" s="109"/>
      <c r="E99" s="109"/>
      <c r="F99" s="2"/>
      <c r="G99" s="2"/>
      <c r="H99" s="1"/>
      <c r="I99" s="2"/>
      <c r="J99" s="2"/>
      <c r="K99" s="2"/>
      <c r="L99" s="2"/>
      <c r="M99" s="2"/>
      <c r="N99" s="2"/>
      <c r="O99" s="30"/>
    </row>
    <row r="100" spans="1:15" ht="16.5" customHeight="1">
      <c r="A100" s="6"/>
      <c r="B100" s="7"/>
      <c r="C100" s="27">
        <f>C$4</f>
        <v>23</v>
      </c>
      <c r="D100" s="27">
        <f t="shared" ref="D100:N100" si="73">D$4</f>
        <v>24</v>
      </c>
      <c r="E100" s="27">
        <f t="shared" si="73"/>
        <v>25</v>
      </c>
      <c r="F100" s="27">
        <f t="shared" si="73"/>
        <v>26</v>
      </c>
      <c r="G100" s="27">
        <f t="shared" si="73"/>
        <v>27</v>
      </c>
      <c r="H100" s="27">
        <f t="shared" si="73"/>
        <v>28</v>
      </c>
      <c r="I100" s="27">
        <f t="shared" si="73"/>
        <v>29</v>
      </c>
      <c r="J100" s="27">
        <f t="shared" si="73"/>
        <v>30</v>
      </c>
      <c r="K100" s="27">
        <f t="shared" si="73"/>
        <v>1</v>
      </c>
      <c r="L100" s="27">
        <f t="shared" si="73"/>
        <v>2</v>
      </c>
      <c r="M100" s="27">
        <f t="shared" si="73"/>
        <v>3</v>
      </c>
      <c r="N100" s="27">
        <f t="shared" si="73"/>
        <v>4</v>
      </c>
      <c r="O100" s="30"/>
    </row>
    <row r="101" spans="1:15" ht="16.5" customHeight="1">
      <c r="A101" s="12"/>
      <c r="B101" s="13"/>
      <c r="C101" s="28">
        <f>C$5</f>
        <v>2011</v>
      </c>
      <c r="D101" s="28">
        <f t="shared" ref="D101:N101" si="74">D$5</f>
        <v>2012</v>
      </c>
      <c r="E101" s="28">
        <f t="shared" si="74"/>
        <v>2013</v>
      </c>
      <c r="F101" s="28">
        <f t="shared" si="74"/>
        <v>2014</v>
      </c>
      <c r="G101" s="28">
        <f t="shared" si="74"/>
        <v>2015</v>
      </c>
      <c r="H101" s="28">
        <f t="shared" si="74"/>
        <v>2016</v>
      </c>
      <c r="I101" s="28">
        <f t="shared" si="74"/>
        <v>2017</v>
      </c>
      <c r="J101" s="28">
        <f t="shared" si="74"/>
        <v>2018</v>
      </c>
      <c r="K101" s="28">
        <f t="shared" si="74"/>
        <v>2019</v>
      </c>
      <c r="L101" s="28">
        <f t="shared" si="74"/>
        <v>2020</v>
      </c>
      <c r="M101" s="28">
        <f t="shared" si="74"/>
        <v>2021</v>
      </c>
      <c r="N101" s="28">
        <f t="shared" si="74"/>
        <v>2022</v>
      </c>
      <c r="O101" s="30"/>
    </row>
    <row r="102" spans="1:15" ht="16.5" customHeight="1">
      <c r="A102" s="126" t="s">
        <v>159</v>
      </c>
      <c r="B102" s="23" t="s">
        <v>51</v>
      </c>
      <c r="C102" s="170"/>
      <c r="D102" s="31">
        <f t="shared" ref="D102:N102" ca="1" si="75">IF(C6="X","X",IF(D6="X","X",(D6-C6)/C$26*100))</f>
        <v>0</v>
      </c>
      <c r="E102" s="31">
        <f t="shared" ca="1" si="75"/>
        <v>-3.0328987544622548E-3</v>
      </c>
      <c r="F102" s="31">
        <f t="shared" ca="1" si="75"/>
        <v>-5.6228783675016912E-4</v>
      </c>
      <c r="G102" s="31">
        <f t="shared" ca="1" si="75"/>
        <v>-1.8778005634966525E-3</v>
      </c>
      <c r="H102" s="31">
        <f t="shared" ca="1" si="75"/>
        <v>5.0649523440901827E-3</v>
      </c>
      <c r="I102" s="31">
        <f t="shared" ca="1" si="75"/>
        <v>-1.6051832827457392E-3</v>
      </c>
      <c r="J102" s="31">
        <f t="shared" ca="1" si="75"/>
        <v>-1.1549077806137179E-3</v>
      </c>
      <c r="K102" s="31">
        <f t="shared" ca="1" si="75"/>
        <v>2.0758575618122382E-3</v>
      </c>
      <c r="L102" s="31">
        <f t="shared" ca="1" si="75"/>
        <v>-1.9500174418226742E-3</v>
      </c>
      <c r="M102" s="31">
        <f t="shared" ca="1" si="75"/>
        <v>2.6283323072217812E-3</v>
      </c>
      <c r="N102" s="31">
        <f t="shared" ca="1" si="75"/>
        <v>-3.483478844302884E-3</v>
      </c>
      <c r="O102" s="30"/>
    </row>
    <row r="103" spans="1:15" ht="16.5" customHeight="1">
      <c r="A103" s="126" t="s">
        <v>3</v>
      </c>
      <c r="B103" s="111" t="s">
        <v>52</v>
      </c>
      <c r="C103" s="171"/>
      <c r="D103" s="30">
        <f t="shared" ref="D103:N103" ca="1" si="76">IF(C7="X","X",IF(D7="X","X",(D7-C7)/C$26*100))</f>
        <v>0</v>
      </c>
      <c r="E103" s="30">
        <f t="shared" ca="1" si="76"/>
        <v>3.2788094642835188E-4</v>
      </c>
      <c r="F103" s="30">
        <f t="shared" ca="1" si="76"/>
        <v>4.0163416910726362E-4</v>
      </c>
      <c r="G103" s="30">
        <f t="shared" ca="1" si="76"/>
        <v>0</v>
      </c>
      <c r="H103" s="30">
        <f t="shared" ca="1" si="76"/>
        <v>2.267889109294112E-4</v>
      </c>
      <c r="I103" s="30">
        <f t="shared" ca="1" si="76"/>
        <v>-7.2962876488442681E-5</v>
      </c>
      <c r="J103" s="30">
        <f t="shared" ca="1" si="76"/>
        <v>1.4436347257671474E-4</v>
      </c>
      <c r="K103" s="30">
        <f t="shared" ca="1" si="76"/>
        <v>7.1581295234904763E-4</v>
      </c>
      <c r="L103" s="30">
        <f t="shared" ca="1" si="76"/>
        <v>4.3333720929392757E-4</v>
      </c>
      <c r="M103" s="30">
        <f t="shared" ca="1" si="76"/>
        <v>7.9646433552175188E-5</v>
      </c>
      <c r="N103" s="30">
        <f t="shared" ca="1" si="76"/>
        <v>-5.3009460674174316E-4</v>
      </c>
      <c r="O103" s="30"/>
    </row>
    <row r="104" spans="1:15" ht="16.5" customHeight="1">
      <c r="A104" s="126" t="s">
        <v>5</v>
      </c>
      <c r="B104" s="111" t="s">
        <v>53</v>
      </c>
      <c r="C104" s="171"/>
      <c r="D104" s="30">
        <f t="shared" ref="D104:N104" ca="1" si="77">IF(C8="X","X",IF(D8="X","X",(D8-C8)/C$26*100))</f>
        <v>2.0743411323136795E-2</v>
      </c>
      <c r="E104" s="30">
        <f t="shared" ca="1" si="77"/>
        <v>2.4591070982126388E-3</v>
      </c>
      <c r="F104" s="30">
        <f t="shared" ca="1" si="77"/>
        <v>-8.0326833821452723E-4</v>
      </c>
      <c r="G104" s="30">
        <f t="shared" ca="1" si="77"/>
        <v>4.6788530707124923E-2</v>
      </c>
      <c r="H104" s="30">
        <f t="shared" ca="1" si="77"/>
        <v>-3.9310077894431274E-3</v>
      </c>
      <c r="I104" s="30">
        <f t="shared" ca="1" si="77"/>
        <v>1.7875904739668456E-2</v>
      </c>
      <c r="J104" s="30">
        <f t="shared" ca="1" si="77"/>
        <v>-2.670724242669223E-3</v>
      </c>
      <c r="K104" s="30">
        <f t="shared" ca="1" si="77"/>
        <v>-1.7251092151612048E-2</v>
      </c>
      <c r="L104" s="30">
        <f t="shared" ca="1" si="77"/>
        <v>-4.470595542549019E-2</v>
      </c>
      <c r="M104" s="30">
        <f t="shared" ca="1" si="77"/>
        <v>1.3539893703869781E-2</v>
      </c>
      <c r="N104" s="30">
        <f t="shared" ca="1" si="77"/>
        <v>-1.6281477207067827E-2</v>
      </c>
      <c r="O104" s="30"/>
    </row>
    <row r="105" spans="1:15" ht="16.5" customHeight="1">
      <c r="A105" s="126" t="s">
        <v>7</v>
      </c>
      <c r="B105" s="23" t="s">
        <v>54</v>
      </c>
      <c r="C105" s="171"/>
      <c r="D105" s="30">
        <f t="shared" ref="D105:N105" ca="1" si="78">IF(C9="X","X",IF(D9="X","X",(D9-C9)/C$26*100))</f>
        <v>6.507736885689975E-4</v>
      </c>
      <c r="E105" s="30">
        <f t="shared" ca="1" si="78"/>
        <v>4.180482066961486E-3</v>
      </c>
      <c r="F105" s="30">
        <f t="shared" ca="1" si="78"/>
        <v>4.0163416910726363E-3</v>
      </c>
      <c r="G105" s="30">
        <f t="shared" ca="1" si="78"/>
        <v>7.1199938032581404E-3</v>
      </c>
      <c r="H105" s="30">
        <f t="shared" ca="1" si="78"/>
        <v>2.57027432386666E-3</v>
      </c>
      <c r="I105" s="30">
        <f t="shared" ca="1" si="78"/>
        <v>4.8155498482372171E-3</v>
      </c>
      <c r="J105" s="30">
        <f t="shared" ca="1" si="78"/>
        <v>2.8872694515342948E-3</v>
      </c>
      <c r="K105" s="30">
        <f t="shared" ca="1" si="78"/>
        <v>2.8632518093961905E-3</v>
      </c>
      <c r="L105" s="30">
        <f t="shared" ca="1" si="78"/>
        <v>3.0333604650574931E-3</v>
      </c>
      <c r="M105" s="30">
        <f t="shared" ca="1" si="78"/>
        <v>4.7787860131305105E-4</v>
      </c>
      <c r="N105" s="30">
        <f t="shared" ca="1" si="78"/>
        <v>1.029898093098244E-2</v>
      </c>
      <c r="O105" s="30"/>
    </row>
    <row r="106" spans="1:15" ht="16.5" customHeight="1">
      <c r="A106" s="126" t="s">
        <v>9</v>
      </c>
      <c r="B106" s="111" t="s">
        <v>55</v>
      </c>
      <c r="C106" s="171"/>
      <c r="D106" s="30">
        <f t="shared" ref="D106:N106" ca="1" si="79">IF(C10="X","X",IF(D10="X","X",(D10-C10)/C$26*100))</f>
        <v>-4.9865533886599429E-2</v>
      </c>
      <c r="E106" s="30">
        <f t="shared" ca="1" si="79"/>
        <v>1.5738285428560889E-2</v>
      </c>
      <c r="F106" s="30">
        <f t="shared" ca="1" si="79"/>
        <v>-1.9519420618613011E-2</v>
      </c>
      <c r="G106" s="30">
        <f t="shared" ca="1" si="79"/>
        <v>-7.6598614652634275E-2</v>
      </c>
      <c r="H106" s="30">
        <f t="shared" ca="1" si="79"/>
        <v>-0.20131295660167403</v>
      </c>
      <c r="I106" s="30">
        <f t="shared" ca="1" si="79"/>
        <v>0.25121118374970819</v>
      </c>
      <c r="J106" s="30">
        <f t="shared" ca="1" si="79"/>
        <v>3.6523958561908834E-2</v>
      </c>
      <c r="K106" s="30">
        <f t="shared" ca="1" si="79"/>
        <v>-0.16936134452578466</v>
      </c>
      <c r="L106" s="30">
        <f t="shared" ca="1" si="79"/>
        <v>0.19803510464732488</v>
      </c>
      <c r="M106" s="30">
        <f t="shared" ca="1" si="79"/>
        <v>-6.3000328939770575E-2</v>
      </c>
      <c r="N106" s="30">
        <f t="shared" ca="1" si="79"/>
        <v>-3.1729948603541488E-2</v>
      </c>
      <c r="O106" s="30"/>
    </row>
    <row r="107" spans="1:15" ht="16.5" customHeight="1">
      <c r="A107" s="126" t="s">
        <v>11</v>
      </c>
      <c r="B107" s="111" t="s">
        <v>57</v>
      </c>
      <c r="C107" s="171"/>
      <c r="D107" s="30">
        <f t="shared" ref="D107:N107" ca="1" si="80">IF(C11="X","X",IF(D11="X","X",(D11-C11)/C$26*100))</f>
        <v>0.28674715652571453</v>
      </c>
      <c r="E107" s="30">
        <f t="shared" ca="1" si="80"/>
        <v>0.30410957781229636</v>
      </c>
      <c r="F107" s="30">
        <f t="shared" ca="1" si="80"/>
        <v>2.1220742958951382</v>
      </c>
      <c r="G107" s="30">
        <f t="shared" ca="1" si="80"/>
        <v>0.71708509018528421</v>
      </c>
      <c r="H107" s="30">
        <f t="shared" ca="1" si="80"/>
        <v>0.99031157772509548</v>
      </c>
      <c r="I107" s="30">
        <f t="shared" ca="1" si="80"/>
        <v>-0.26930597711884191</v>
      </c>
      <c r="J107" s="30">
        <f t="shared" ca="1" si="80"/>
        <v>-0.48542217653920333</v>
      </c>
      <c r="K107" s="30">
        <f t="shared" ca="1" si="80"/>
        <v>-0.33542994947076371</v>
      </c>
      <c r="L107" s="30">
        <f t="shared" ca="1" si="80"/>
        <v>-1.2001996240077482</v>
      </c>
      <c r="M107" s="30">
        <f t="shared" ca="1" si="80"/>
        <v>2.1655865282836433</v>
      </c>
      <c r="N107" s="30">
        <f t="shared" ca="1" si="80"/>
        <v>-2.3997382847198714</v>
      </c>
      <c r="O107" s="30"/>
    </row>
    <row r="108" spans="1:15" ht="16.5" customHeight="1">
      <c r="A108" s="126" t="s">
        <v>13</v>
      </c>
      <c r="B108" s="111" t="s">
        <v>56</v>
      </c>
      <c r="C108" s="171"/>
      <c r="D108" s="30">
        <f t="shared" ref="D108:N108" ca="1" si="81">IF(C12="X","X",IF(D12="X","X",(D12-C12)/C$26*100))</f>
        <v>-4.0673355535562339E-2</v>
      </c>
      <c r="E108" s="30">
        <f t="shared" ca="1" si="81"/>
        <v>-8.5658897254406924E-2</v>
      </c>
      <c r="F108" s="30">
        <f t="shared" ca="1" si="81"/>
        <v>0.43312228796527308</v>
      </c>
      <c r="G108" s="30">
        <f t="shared" ca="1" si="81"/>
        <v>1.3066362254330872E-2</v>
      </c>
      <c r="H108" s="30">
        <f t="shared" ca="1" si="81"/>
        <v>0.21968285838695631</v>
      </c>
      <c r="I108" s="30">
        <f t="shared" ca="1" si="81"/>
        <v>-5.9902521597011441E-2</v>
      </c>
      <c r="J108" s="30">
        <f t="shared" ca="1" si="81"/>
        <v>1.0971623915830321E-2</v>
      </c>
      <c r="K108" s="30">
        <f t="shared" ca="1" si="81"/>
        <v>0.15132285812658866</v>
      </c>
      <c r="L108" s="30">
        <f t="shared" ca="1" si="81"/>
        <v>-1.9355728681795432E-2</v>
      </c>
      <c r="M108" s="30">
        <f t="shared" ca="1" si="81"/>
        <v>5.2646292577987801E-2</v>
      </c>
      <c r="N108" s="30">
        <f t="shared" ca="1" si="81"/>
        <v>-0.50472579341910262</v>
      </c>
      <c r="O108" s="30"/>
    </row>
    <row r="109" spans="1:15" ht="16.5" customHeight="1">
      <c r="A109" s="126" t="s">
        <v>15</v>
      </c>
      <c r="B109" s="111" t="s">
        <v>58</v>
      </c>
      <c r="C109" s="171"/>
      <c r="D109" s="30">
        <f t="shared" ref="D109:N109" ca="1" si="82">IF(C13="X","X",IF(D13="X","X",(D13-C13)/C$26*100))</f>
        <v>0.17375657484792231</v>
      </c>
      <c r="E109" s="30">
        <f t="shared" ca="1" si="82"/>
        <v>0.32402834530781877</v>
      </c>
      <c r="F109" s="30">
        <f t="shared" ca="1" si="82"/>
        <v>-0.11832142621899985</v>
      </c>
      <c r="G109" s="30">
        <f t="shared" ca="1" si="82"/>
        <v>6.6818403384422548E-2</v>
      </c>
      <c r="H109" s="30">
        <f t="shared" ca="1" si="82"/>
        <v>-8.958161981711743E-2</v>
      </c>
      <c r="I109" s="30">
        <f t="shared" ca="1" si="82"/>
        <v>0.29287298622460894</v>
      </c>
      <c r="J109" s="30">
        <f t="shared" ca="1" si="82"/>
        <v>-6.7778650374767574E-2</v>
      </c>
      <c r="K109" s="30">
        <f t="shared" ca="1" si="82"/>
        <v>-0.24452170452243463</v>
      </c>
      <c r="L109" s="30">
        <f t="shared" ca="1" si="82"/>
        <v>-0.60161649223640279</v>
      </c>
      <c r="M109" s="30">
        <f t="shared" ca="1" si="82"/>
        <v>0.5566489240961523</v>
      </c>
      <c r="N109" s="30">
        <f t="shared" ca="1" si="82"/>
        <v>0.42104657335487033</v>
      </c>
      <c r="O109" s="30"/>
    </row>
    <row r="110" spans="1:15" ht="16.5" customHeight="1">
      <c r="A110" s="126" t="s">
        <v>16</v>
      </c>
      <c r="B110" s="111" t="s">
        <v>59</v>
      </c>
      <c r="C110" s="171"/>
      <c r="D110" s="30">
        <f t="shared" ref="D110:N110" ca="1" si="83">IF(C14="X","X",IF(D14="X","X",(D14-C14)/C$26*100))</f>
        <v>-1.1776563361766721</v>
      </c>
      <c r="E110" s="30">
        <f t="shared" ca="1" si="83"/>
        <v>1.0462681000528709</v>
      </c>
      <c r="F110" s="30">
        <f t="shared" ca="1" si="83"/>
        <v>-0.47007263152314138</v>
      </c>
      <c r="G110" s="30">
        <f t="shared" ca="1" si="83"/>
        <v>0.31805247044224549</v>
      </c>
      <c r="H110" s="30">
        <f t="shared" ca="1" si="83"/>
        <v>1.0228935845952878</v>
      </c>
      <c r="I110" s="30">
        <f t="shared" ca="1" si="83"/>
        <v>-5.3116974083586267E-2</v>
      </c>
      <c r="J110" s="30">
        <f t="shared" ca="1" si="83"/>
        <v>-1.8478524489819487E-2</v>
      </c>
      <c r="K110" s="30">
        <f t="shared" ca="1" si="83"/>
        <v>-0.41674630085761549</v>
      </c>
      <c r="L110" s="30">
        <f t="shared" ca="1" si="83"/>
        <v>-5.2082076956355001</v>
      </c>
      <c r="M110" s="30">
        <f t="shared" ca="1" si="83"/>
        <v>0.40364812524242383</v>
      </c>
      <c r="N110" s="30">
        <f t="shared" ca="1" si="83"/>
        <v>3.9629115522003091</v>
      </c>
      <c r="O110" s="30"/>
    </row>
    <row r="111" spans="1:15" ht="16.5" customHeight="1">
      <c r="A111" s="18">
        <v>10</v>
      </c>
      <c r="B111" s="111" t="s">
        <v>60</v>
      </c>
      <c r="C111" s="171"/>
      <c r="D111" s="30">
        <f t="shared" ref="D111:N111" ca="1" si="84">IF(C15="X","X",IF(D15="X","X",(D15-C15)/C$26*100))</f>
        <v>-9.8266826973918614E-2</v>
      </c>
      <c r="E111" s="30">
        <f t="shared" ca="1" si="84"/>
        <v>8.5740867491014006E-2</v>
      </c>
      <c r="F111" s="30">
        <f t="shared" ca="1" si="84"/>
        <v>-7.4864609121593942E-2</v>
      </c>
      <c r="G111" s="30">
        <f t="shared" ca="1" si="84"/>
        <v>7.3625430427097918E-2</v>
      </c>
      <c r="H111" s="30">
        <f t="shared" ca="1" si="84"/>
        <v>0.44979800667666553</v>
      </c>
      <c r="I111" s="30">
        <f t="shared" ca="1" si="84"/>
        <v>0.17467312631333176</v>
      </c>
      <c r="J111" s="30">
        <f t="shared" ca="1" si="84"/>
        <v>8.8061718271796E-2</v>
      </c>
      <c r="K111" s="30">
        <f t="shared" ca="1" si="84"/>
        <v>-0.28317560394928321</v>
      </c>
      <c r="L111" s="30">
        <f t="shared" ca="1" si="84"/>
        <v>-1.6752094282621084</v>
      </c>
      <c r="M111" s="30">
        <f t="shared" ca="1" si="84"/>
        <v>-0.12719535438282376</v>
      </c>
      <c r="N111" s="30">
        <f t="shared" ca="1" si="84"/>
        <v>1.2840405931304284</v>
      </c>
      <c r="O111" s="30"/>
    </row>
    <row r="112" spans="1:15" ht="16.5" customHeight="1">
      <c r="A112" s="18">
        <v>11</v>
      </c>
      <c r="B112" s="111" t="s">
        <v>61</v>
      </c>
      <c r="C112" s="171"/>
      <c r="D112" s="30">
        <f t="shared" ref="D112:N112" ca="1" si="85">IF(C16="X","X",IF(D16="X","X",(D16-C16)/C$26*100))</f>
        <v>-0.54193178915583262</v>
      </c>
      <c r="E112" s="30">
        <f t="shared" ca="1" si="85"/>
        <v>-0.17738359201773835</v>
      </c>
      <c r="F112" s="30">
        <f t="shared" ca="1" si="85"/>
        <v>-0.70093195192599644</v>
      </c>
      <c r="G112" s="30">
        <f t="shared" ca="1" si="85"/>
        <v>0.3141403859349608</v>
      </c>
      <c r="H112" s="30">
        <f t="shared" ca="1" si="85"/>
        <v>0.27018118922057188</v>
      </c>
      <c r="I112" s="30">
        <f t="shared" ca="1" si="85"/>
        <v>-0.19021421900537008</v>
      </c>
      <c r="J112" s="30">
        <f t="shared" ca="1" si="85"/>
        <v>4.5330130389088431E-2</v>
      </c>
      <c r="K112" s="30">
        <f t="shared" ca="1" si="85"/>
        <v>-0.49255089251137968</v>
      </c>
      <c r="L112" s="30">
        <f t="shared" ca="1" si="85"/>
        <v>9.3889728680350982E-4</v>
      </c>
      <c r="M112" s="30">
        <f t="shared" ca="1" si="85"/>
        <v>-0.23718707911837769</v>
      </c>
      <c r="N112" s="30">
        <f t="shared" ca="1" si="85"/>
        <v>-0.17750596545752087</v>
      </c>
      <c r="O112" s="30"/>
    </row>
    <row r="113" spans="1:18" ht="16.5" customHeight="1">
      <c r="A113" s="18">
        <v>12</v>
      </c>
      <c r="B113" s="111" t="s">
        <v>62</v>
      </c>
      <c r="C113" s="171"/>
      <c r="D113" s="30">
        <f t="shared" ref="D113:N113" ca="1" si="86">IF(C17="X","X",IF(D17="X","X",(D17-C17)/C$26*100))</f>
        <v>-0.24932766943299717</v>
      </c>
      <c r="E113" s="30">
        <f t="shared" ca="1" si="86"/>
        <v>0.26623932849982174</v>
      </c>
      <c r="F113" s="30">
        <f t="shared" ca="1" si="86"/>
        <v>-4.9641983301657783E-2</v>
      </c>
      <c r="G113" s="30">
        <f t="shared" ca="1" si="86"/>
        <v>-1.1892736902145465E-2</v>
      </c>
      <c r="H113" s="30">
        <f t="shared" ca="1" si="86"/>
        <v>-0.58345227151773182</v>
      </c>
      <c r="I113" s="30">
        <f t="shared" ca="1" si="86"/>
        <v>0.11980504319402288</v>
      </c>
      <c r="J113" s="30">
        <f t="shared" ca="1" si="86"/>
        <v>0.16832780902444941</v>
      </c>
      <c r="K113" s="30">
        <f t="shared" ca="1" si="86"/>
        <v>0.23170865267538671</v>
      </c>
      <c r="L113" s="30">
        <f t="shared" ca="1" si="86"/>
        <v>-0.14292905619878046</v>
      </c>
      <c r="M113" s="30">
        <f t="shared" ca="1" si="86"/>
        <v>0.25455000163275188</v>
      </c>
      <c r="N113" s="30">
        <f t="shared" ca="1" si="86"/>
        <v>0.89305795675791111</v>
      </c>
      <c r="O113" s="30"/>
    </row>
    <row r="114" spans="1:18" ht="16.5" customHeight="1">
      <c r="A114" s="18">
        <v>13</v>
      </c>
      <c r="B114" s="111" t="s">
        <v>63</v>
      </c>
      <c r="C114" s="171"/>
      <c r="D114" s="30">
        <f t="shared" ref="D114:N114" ca="1" si="87">IF(C18="X","X",IF(D18="X","X",(D18-C18)/C$26*100))</f>
        <v>-9.0701582844304018E-2</v>
      </c>
      <c r="E114" s="30">
        <f t="shared" ca="1" si="87"/>
        <v>0.1268079560311651</v>
      </c>
      <c r="F114" s="30">
        <f t="shared" ca="1" si="87"/>
        <v>0.35239381997471309</v>
      </c>
      <c r="G114" s="30">
        <f t="shared" ca="1" si="87"/>
        <v>-4.0372712115178025E-2</v>
      </c>
      <c r="H114" s="30">
        <f t="shared" ca="1" si="87"/>
        <v>0.12564105665489381</v>
      </c>
      <c r="I114" s="30">
        <f t="shared" ca="1" si="87"/>
        <v>0.39363471865514821</v>
      </c>
      <c r="J114" s="30">
        <f t="shared" ca="1" si="87"/>
        <v>0.1962621409680437</v>
      </c>
      <c r="K114" s="30">
        <f t="shared" ca="1" si="87"/>
        <v>0.16435065385934133</v>
      </c>
      <c r="L114" s="30">
        <f t="shared" ca="1" si="87"/>
        <v>0.22251865697243181</v>
      </c>
      <c r="M114" s="30">
        <f t="shared" ca="1" si="87"/>
        <v>3.6000187965583186E-2</v>
      </c>
      <c r="N114" s="30">
        <f t="shared" ca="1" si="87"/>
        <v>0.15743809820229773</v>
      </c>
      <c r="O114" s="30"/>
    </row>
    <row r="115" spans="1:18" ht="16.5" customHeight="1">
      <c r="A115" s="18">
        <v>14</v>
      </c>
      <c r="B115" s="111" t="s">
        <v>64</v>
      </c>
      <c r="C115" s="171"/>
      <c r="D115" s="30">
        <f t="shared" ref="D115:N115" ca="1" si="88">IF(C19="X","X",IF(D19="X","X",(D19-C19)/C$26*100))</f>
        <v>0.68176678548709602</v>
      </c>
      <c r="E115" s="30">
        <f t="shared" ca="1" si="88"/>
        <v>0.51723219299072509</v>
      </c>
      <c r="F115" s="30">
        <f t="shared" ca="1" si="88"/>
        <v>0.36155107903035871</v>
      </c>
      <c r="G115" s="30">
        <f t="shared" ca="1" si="88"/>
        <v>1.1432675764088784</v>
      </c>
      <c r="H115" s="30">
        <f t="shared" ca="1" si="88"/>
        <v>0.99590570419468771</v>
      </c>
      <c r="I115" s="30">
        <f t="shared" ca="1" si="88"/>
        <v>-0.17576756946065841</v>
      </c>
      <c r="J115" s="30">
        <f t="shared" ca="1" si="88"/>
        <v>0.15078764710637857</v>
      </c>
      <c r="K115" s="30">
        <f t="shared" ca="1" si="88"/>
        <v>-0.25805056932183162</v>
      </c>
      <c r="L115" s="30">
        <f t="shared" ca="1" si="88"/>
        <v>0.14632353100491621</v>
      </c>
      <c r="M115" s="30">
        <f t="shared" ca="1" si="88"/>
        <v>0.94277483395709771</v>
      </c>
      <c r="N115" s="30">
        <f t="shared" ca="1" si="88"/>
        <v>1.0318670159232848</v>
      </c>
      <c r="O115" s="30"/>
    </row>
    <row r="116" spans="1:18" ht="16.5" customHeight="1">
      <c r="A116" s="18">
        <v>15</v>
      </c>
      <c r="B116" s="111" t="s">
        <v>65</v>
      </c>
      <c r="C116" s="171"/>
      <c r="D116" s="30">
        <f t="shared" ref="D116:N116" ca="1" si="89">IF(C20="X","X",IF(D20="X","X",(D20-C20)/C$26*100))</f>
        <v>-0.11876619816384203</v>
      </c>
      <c r="E116" s="30">
        <f t="shared" ca="1" si="89"/>
        <v>-0.36771848141939661</v>
      </c>
      <c r="F116" s="30">
        <f t="shared" ca="1" si="89"/>
        <v>0.89283275792544703</v>
      </c>
      <c r="G116" s="30">
        <f t="shared" ca="1" si="89"/>
        <v>0.52562767439877134</v>
      </c>
      <c r="H116" s="30">
        <f t="shared" ca="1" si="89"/>
        <v>0.21182084280807006</v>
      </c>
      <c r="I116" s="30">
        <f t="shared" ca="1" si="89"/>
        <v>0.31950443614289048</v>
      </c>
      <c r="J116" s="30">
        <f t="shared" ca="1" si="89"/>
        <v>0.41237425941538569</v>
      </c>
      <c r="K116" s="30">
        <f t="shared" ca="1" si="89"/>
        <v>0.58861299071662188</v>
      </c>
      <c r="L116" s="30">
        <f t="shared" ca="1" si="89"/>
        <v>-0.9742864922291804</v>
      </c>
      <c r="M116" s="30">
        <f t="shared" ca="1" si="89"/>
        <v>0.36095763685845794</v>
      </c>
      <c r="N116" s="30">
        <f t="shared" ca="1" si="89"/>
        <v>0.25891335149285999</v>
      </c>
      <c r="O116" s="30"/>
    </row>
    <row r="117" spans="1:18" ht="16.5" customHeight="1">
      <c r="A117" s="18">
        <v>16</v>
      </c>
      <c r="B117" s="111" t="s">
        <v>66</v>
      </c>
      <c r="C117" s="171"/>
      <c r="D117" s="30">
        <f t="shared" ref="D117:N117" ca="1" si="90">IF(C21="X","X",IF(D21="X","X",(D21-C21)/C$26*100))</f>
        <v>-2.115014487849242E-2</v>
      </c>
      <c r="E117" s="30">
        <f t="shared" ca="1" si="90"/>
        <v>-0.11779123000438541</v>
      </c>
      <c r="F117" s="30">
        <f t="shared" ca="1" si="90"/>
        <v>1.060314206443176E-2</v>
      </c>
      <c r="G117" s="30">
        <f t="shared" ca="1" si="90"/>
        <v>4.0529195495469413E-2</v>
      </c>
      <c r="H117" s="30">
        <f t="shared" ca="1" si="90"/>
        <v>6.5768784169529249E-3</v>
      </c>
      <c r="I117" s="30">
        <f t="shared" ca="1" si="90"/>
        <v>0.10834987158533738</v>
      </c>
      <c r="J117" s="30">
        <f t="shared" ca="1" si="90"/>
        <v>6.6695924330442219E-2</v>
      </c>
      <c r="K117" s="30">
        <f t="shared" ca="1" si="90"/>
        <v>3.3356883579465618E-2</v>
      </c>
      <c r="L117" s="30">
        <f t="shared" ca="1" si="90"/>
        <v>9.6200860463251922E-2</v>
      </c>
      <c r="M117" s="30">
        <f t="shared" ca="1" si="90"/>
        <v>0.12727500081637594</v>
      </c>
      <c r="N117" s="30">
        <f t="shared" ca="1" si="90"/>
        <v>0.11359170144465926</v>
      </c>
      <c r="O117" s="30"/>
    </row>
    <row r="118" spans="1:18" ht="16.5" customHeight="1">
      <c r="A118" s="18">
        <v>17</v>
      </c>
      <c r="B118" s="111" t="s">
        <v>67</v>
      </c>
      <c r="C118" s="171"/>
      <c r="D118" s="30">
        <f t="shared" ref="D118:N118" ca="1" si="91">IF(C22="X","X",IF(D22="X","X",(D22-C22)/C$26*100))</f>
        <v>0.3315691943259042</v>
      </c>
      <c r="E118" s="30">
        <f t="shared" ca="1" si="91"/>
        <v>0.26705903086589261</v>
      </c>
      <c r="F118" s="30">
        <f t="shared" ca="1" si="91"/>
        <v>9.1813571057920471E-2</v>
      </c>
      <c r="G118" s="30">
        <f t="shared" ca="1" si="91"/>
        <v>0.68766621469050326</v>
      </c>
      <c r="H118" s="30">
        <f t="shared" ca="1" si="91"/>
        <v>0.41509930330446559</v>
      </c>
      <c r="I118" s="30">
        <f t="shared" ca="1" si="91"/>
        <v>9.2371001634368427E-2</v>
      </c>
      <c r="J118" s="30">
        <f t="shared" ca="1" si="91"/>
        <v>0.30677237922551887</v>
      </c>
      <c r="K118" s="30">
        <f t="shared" ca="1" si="91"/>
        <v>0.34072696531814667</v>
      </c>
      <c r="L118" s="30">
        <f t="shared" ca="1" si="91"/>
        <v>8.5584098835550695E-2</v>
      </c>
      <c r="M118" s="30">
        <f t="shared" ca="1" si="91"/>
        <v>0.46808208998613354</v>
      </c>
      <c r="N118" s="30">
        <f t="shared" ca="1" si="91"/>
        <v>0.24172314067423492</v>
      </c>
      <c r="O118" s="30"/>
    </row>
    <row r="119" spans="1:18" ht="16.5" customHeight="1">
      <c r="A119" s="18">
        <v>18</v>
      </c>
      <c r="B119" s="111" t="s">
        <v>68</v>
      </c>
      <c r="C119" s="171"/>
      <c r="D119" s="32">
        <f t="shared" ref="D119:N119" ca="1" si="92">IF(C23="X","X",IF(D23="X","X",(D23-C23)/C$26*100))</f>
        <v>0.13959095619804995</v>
      </c>
      <c r="E119" s="32">
        <f t="shared" ca="1" si="92"/>
        <v>-0.11631576574545781</v>
      </c>
      <c r="F119" s="32">
        <f t="shared" ca="1" si="92"/>
        <v>-3.68700167240468E-2</v>
      </c>
      <c r="G119" s="32">
        <f t="shared" ca="1" si="92"/>
        <v>9.0760360569004869E-3</v>
      </c>
      <c r="H119" s="32">
        <f t="shared" ca="1" si="92"/>
        <v>-7.3479607141129222E-2</v>
      </c>
      <c r="I119" s="32">
        <f t="shared" ca="1" si="92"/>
        <v>8.8868783562923187E-2</v>
      </c>
      <c r="J119" s="32">
        <f t="shared" ca="1" si="92"/>
        <v>-3.4141961264393034E-2</v>
      </c>
      <c r="K119" s="32">
        <f t="shared" ca="1" si="92"/>
        <v>-4.1731895121949476E-2</v>
      </c>
      <c r="L119" s="32">
        <f t="shared" ca="1" si="92"/>
        <v>-0.31741950580780193</v>
      </c>
      <c r="M119" s="32">
        <f t="shared" ca="1" si="92"/>
        <v>0.35386910427231433</v>
      </c>
      <c r="N119" s="32">
        <f t="shared" ca="1" si="92"/>
        <v>0.25277939961484841</v>
      </c>
      <c r="O119" s="30"/>
    </row>
    <row r="120" spans="1:18" ht="16.5" customHeight="1">
      <c r="A120" s="33">
        <v>19</v>
      </c>
      <c r="B120" s="110" t="s">
        <v>70</v>
      </c>
      <c r="C120" s="172"/>
      <c r="D120" s="32">
        <f t="shared" ref="D120:N120" ca="1" si="93">IF(C24="X","X",IF(D24="X","X",(D24-C24)/C$26*100))</f>
        <v>-0.75351458465182786</v>
      </c>
      <c r="E120" s="32">
        <f t="shared" ca="1" si="93"/>
        <v>2.0922902893959203</v>
      </c>
      <c r="F120" s="32">
        <f t="shared" ca="1" si="93"/>
        <v>2.7972213341644481</v>
      </c>
      <c r="G120" s="32">
        <f t="shared" ca="1" si="93"/>
        <v>3.8321214999557935</v>
      </c>
      <c r="H120" s="32">
        <f t="shared" ca="1" si="93"/>
        <v>3.7640155546954377</v>
      </c>
      <c r="I120" s="32">
        <f t="shared" ca="1" si="93"/>
        <v>1.1139971982255428</v>
      </c>
      <c r="J120" s="32">
        <f t="shared" ca="1" si="93"/>
        <v>0.87549227944148655</v>
      </c>
      <c r="K120" s="32">
        <f t="shared" ca="1" si="93"/>
        <v>-0.74308542583354631</v>
      </c>
      <c r="L120" s="32">
        <f t="shared" ca="1" si="93"/>
        <v>-9.4328121490420003</v>
      </c>
      <c r="M120" s="32">
        <f t="shared" ca="1" si="93"/>
        <v>5.3113817142939066</v>
      </c>
      <c r="N120" s="32">
        <f t="shared" ca="1" si="93"/>
        <v>5.4936733208685373</v>
      </c>
      <c r="O120" s="30"/>
    </row>
    <row r="121" spans="1:18" ht="16.5" customHeight="1" thickBot="1">
      <c r="A121" s="71">
        <v>20</v>
      </c>
      <c r="B121" s="113" t="s">
        <v>100</v>
      </c>
      <c r="C121" s="173"/>
      <c r="D121" s="30">
        <f t="shared" ref="D121:N121" ca="1" si="94">IF(C25="X","X",IF(D25="X","X",(D25-C25)/C$26*100))</f>
        <v>-7.1585105742589718E-3</v>
      </c>
      <c r="E121" s="30">
        <f t="shared" ca="1" si="94"/>
        <v>-4.6395153919611784E-2</v>
      </c>
      <c r="F121" s="30">
        <f t="shared" ca="1" si="94"/>
        <v>-0.13221796847011119</v>
      </c>
      <c r="G121" s="30">
        <f t="shared" ca="1" si="94"/>
        <v>-0.33276190818963597</v>
      </c>
      <c r="H121" s="30">
        <f t="shared" ca="1" si="94"/>
        <v>-0.15474563355750157</v>
      </c>
      <c r="I121" s="30">
        <f t="shared" ca="1" si="94"/>
        <v>-3.1811814148961004E-2</v>
      </c>
      <c r="J121" s="30">
        <f t="shared" ca="1" si="94"/>
        <v>-3.6668322034485543E-2</v>
      </c>
      <c r="K121" s="30">
        <f t="shared" ca="1" si="94"/>
        <v>-0.14523844803162175</v>
      </c>
      <c r="L121" s="30">
        <f t="shared" ca="1" si="94"/>
        <v>0.11216211433891159</v>
      </c>
      <c r="M121" s="30">
        <f t="shared" ca="1" si="94"/>
        <v>-0.13675292640908479</v>
      </c>
      <c r="N121" s="30">
        <f t="shared" ca="1" si="94"/>
        <v>6.1490974382042207E-2</v>
      </c>
      <c r="O121" s="30"/>
    </row>
    <row r="122" spans="1:18" ht="15.75" customHeight="1" thickTop="1">
      <c r="A122" s="18">
        <v>21</v>
      </c>
      <c r="B122" s="111" t="s">
        <v>119</v>
      </c>
      <c r="C122" s="178"/>
      <c r="D122" s="177">
        <f t="shared" ref="D122:N122" ca="1" si="95">IF(C26="X","X",IF(D26="X","X",(D26-C26)/C$26*100))</f>
        <v>-0.76067309522608695</v>
      </c>
      <c r="E122" s="177">
        <f t="shared" ca="1" si="95"/>
        <v>2.0458951354763086</v>
      </c>
      <c r="F122" s="177">
        <f t="shared" ca="1" si="95"/>
        <v>2.665003365694337</v>
      </c>
      <c r="G122" s="177">
        <f t="shared" ca="1" si="95"/>
        <v>3.4993595917661575</v>
      </c>
      <c r="H122" s="177">
        <f t="shared" ca="1" si="95"/>
        <v>3.6092699211379355</v>
      </c>
      <c r="I122" s="177">
        <f t="shared" ca="1" si="95"/>
        <v>1.0821853840765818</v>
      </c>
      <c r="J122" s="177">
        <f t="shared" ca="1" si="95"/>
        <v>0.83882395740700111</v>
      </c>
      <c r="K122" s="177">
        <f t="shared" ca="1" si="95"/>
        <v>-0.88832387386516798</v>
      </c>
      <c r="L122" s="177">
        <f t="shared" ca="1" si="95"/>
        <v>-9.3206500347030889</v>
      </c>
      <c r="M122" s="177">
        <f t="shared" ca="1" si="95"/>
        <v>5.1746287878848216</v>
      </c>
      <c r="N122" s="177">
        <f t="shared" ca="1" si="95"/>
        <v>5.5551642952505791</v>
      </c>
    </row>
    <row r="123" spans="1:18" ht="16.5" customHeight="1">
      <c r="A123" s="127" t="s">
        <v>146</v>
      </c>
      <c r="B123" s="128" t="s">
        <v>72</v>
      </c>
      <c r="C123" s="171"/>
      <c r="D123" s="30">
        <f t="shared" ref="D123:N123" ca="1" si="96">IF(C27="X","X",IF(D27="X","X",(D27-C27)/C$26*100))</f>
        <v>2.0743411323136795E-2</v>
      </c>
      <c r="E123" s="30">
        <f t="shared" ca="1" si="96"/>
        <v>-2.459107098212639E-4</v>
      </c>
      <c r="F123" s="30">
        <f t="shared" ca="1" si="96"/>
        <v>-9.6392200585743279E-4</v>
      </c>
      <c r="G123" s="30">
        <f t="shared" ca="1" si="96"/>
        <v>4.4910730143628272E-2</v>
      </c>
      <c r="H123" s="30">
        <f t="shared" ca="1" si="96"/>
        <v>1.3607334655764672E-3</v>
      </c>
      <c r="I123" s="30">
        <f t="shared" ca="1" si="96"/>
        <v>1.6197758580434277E-2</v>
      </c>
      <c r="J123" s="30">
        <f t="shared" ca="1" si="96"/>
        <v>-3.681268550706226E-3</v>
      </c>
      <c r="K123" s="30">
        <f t="shared" ca="1" si="96"/>
        <v>-1.4459421637450762E-2</v>
      </c>
      <c r="L123" s="30">
        <f t="shared" ca="1" si="96"/>
        <v>-4.6222635658018943E-2</v>
      </c>
      <c r="M123" s="30">
        <f t="shared" ca="1" si="96"/>
        <v>1.6247872444643739E-2</v>
      </c>
      <c r="N123" s="30">
        <f t="shared" ca="1" si="96"/>
        <v>-2.0295050658112455E-2</v>
      </c>
    </row>
    <row r="124" spans="1:18" ht="16.5" customHeight="1">
      <c r="A124" s="130" t="s">
        <v>147</v>
      </c>
      <c r="B124" s="111" t="s">
        <v>73</v>
      </c>
      <c r="C124" s="171"/>
      <c r="D124" s="30">
        <f t="shared" ref="D124:N124" ca="1" si="97">IF(C28="X","X",IF(D28="X","X",(D28-C28)/C$26*100))</f>
        <v>0.23753239632768405</v>
      </c>
      <c r="E124" s="30">
        <f t="shared" ca="1" si="97"/>
        <v>0.32402834530781877</v>
      </c>
      <c r="F124" s="30">
        <f t="shared" ca="1" si="97"/>
        <v>2.1065712169675979</v>
      </c>
      <c r="G124" s="30">
        <f t="shared" ca="1" si="97"/>
        <v>0.64760646933590804</v>
      </c>
      <c r="H124" s="30">
        <f t="shared" ca="1" si="97"/>
        <v>0.79156889544728815</v>
      </c>
      <c r="I124" s="30">
        <f t="shared" ca="1" si="97"/>
        <v>-1.3279243520896567E-2</v>
      </c>
      <c r="J124" s="30">
        <f t="shared" ca="1" si="97"/>
        <v>-0.44601094852576018</v>
      </c>
      <c r="K124" s="30">
        <f t="shared" ca="1" si="97"/>
        <v>-0.50192804218715215</v>
      </c>
      <c r="L124" s="30">
        <f t="shared" ca="1" si="97"/>
        <v>-0.99913115889536563</v>
      </c>
      <c r="M124" s="30">
        <f t="shared" ca="1" si="97"/>
        <v>2.1030640779451857</v>
      </c>
      <c r="N124" s="30">
        <f t="shared" ca="1" si="97"/>
        <v>-2.4211692523924309</v>
      </c>
    </row>
    <row r="125" spans="1:18" ht="16.5" customHeight="1">
      <c r="A125" s="131" t="s">
        <v>148</v>
      </c>
      <c r="B125" s="112" t="s">
        <v>74</v>
      </c>
      <c r="C125" s="175"/>
      <c r="D125" s="32">
        <f t="shared" ref="D125:N125" ca="1" si="98">IF(C29="X","X",IF(D29="X","X",(D29-C29)/C$26*100))</f>
        <v>-1.0117903923026488</v>
      </c>
      <c r="E125" s="32">
        <f t="shared" ca="1" si="98"/>
        <v>1.7685078547979227</v>
      </c>
      <c r="F125" s="32">
        <f t="shared" ca="1" si="98"/>
        <v>0.69161403920270792</v>
      </c>
      <c r="G125" s="32">
        <f t="shared" ca="1" si="98"/>
        <v>3.139604300476257</v>
      </c>
      <c r="H125" s="32">
        <f t="shared" ca="1" si="98"/>
        <v>2.9710859257825728</v>
      </c>
      <c r="I125" s="32">
        <f t="shared" ca="1" si="98"/>
        <v>1.1110786831660051</v>
      </c>
      <c r="J125" s="32">
        <f t="shared" ca="1" si="98"/>
        <v>1.3251844965179531</v>
      </c>
      <c r="K125" s="32">
        <f t="shared" ca="1" si="98"/>
        <v>-0.22669796200894335</v>
      </c>
      <c r="L125" s="32">
        <f t="shared" ca="1" si="98"/>
        <v>-8.387458354488615</v>
      </c>
      <c r="M125" s="32">
        <f t="shared" ca="1" si="98"/>
        <v>3.1920697639040769</v>
      </c>
      <c r="N125" s="32">
        <f t="shared" ca="1" si="98"/>
        <v>7.935137623919081</v>
      </c>
      <c r="Q125" s="81" t="s">
        <v>247</v>
      </c>
    </row>
    <row r="126" spans="1:18" ht="16.5" customHeight="1">
      <c r="A126" s="127"/>
      <c r="B126" s="299" t="s">
        <v>279</v>
      </c>
      <c r="C126" s="303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300"/>
      <c r="Q126" s="204" t="str">
        <f>"("&amp;地域分析!$E$2&amp;")"</f>
        <v>(令和４年度)</v>
      </c>
    </row>
    <row r="127" spans="1:18" ht="16.5" customHeight="1">
      <c r="A127" s="131"/>
      <c r="B127" s="301" t="s">
        <v>280</v>
      </c>
      <c r="C127" s="30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02"/>
      <c r="Q127" s="24" t="s">
        <v>263</v>
      </c>
    </row>
    <row r="128" spans="1:18" ht="16.5" customHeight="1">
      <c r="Q128" s="216" t="s">
        <v>249</v>
      </c>
      <c r="R128" s="217">
        <f ca="1">HLOOKUP(コード表!$K$108,地域分析BD!$C$132:$N$157,23,FALSE)</f>
        <v>4461530</v>
      </c>
    </row>
    <row r="129" spans="1:19" ht="16.5" customHeight="1">
      <c r="A129" s="209" t="s">
        <v>246</v>
      </c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Q129" s="216" t="s">
        <v>248</v>
      </c>
      <c r="R129" s="217">
        <f ca="1">地域分析!$E$29</f>
        <v>1393876</v>
      </c>
    </row>
    <row r="130" spans="1:19" ht="16.5" customHeight="1">
      <c r="A130" s="255"/>
      <c r="B130" s="208" t="s">
        <v>244</v>
      </c>
      <c r="C130" s="210" t="s">
        <v>245</v>
      </c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Q130" s="218" t="str">
        <f>地域分析!$B$2</f>
        <v>那 覇 市</v>
      </c>
      <c r="R130" s="219">
        <f ca="1">R129/R128</f>
        <v>0.31242107528134966</v>
      </c>
    </row>
    <row r="131" spans="1:19" ht="16.5" customHeight="1">
      <c r="A131" s="34" t="s">
        <v>269</v>
      </c>
      <c r="B131" s="108"/>
      <c r="C131" s="109"/>
      <c r="D131" s="109"/>
      <c r="E131" s="109"/>
      <c r="F131" s="2"/>
      <c r="G131" s="2"/>
      <c r="H131" s="1"/>
      <c r="I131" s="2"/>
      <c r="J131" s="2"/>
      <c r="K131" s="2"/>
      <c r="L131" s="2"/>
      <c r="M131" s="2"/>
      <c r="N131" s="2"/>
      <c r="Q131" s="216" t="s">
        <v>265</v>
      </c>
      <c r="R131" s="219">
        <f ca="1">IF((1-R130)=0,NA(),(1-R130))</f>
        <v>0.68757892471865034</v>
      </c>
      <c r="S131" s="252"/>
    </row>
    <row r="132" spans="1:19" ht="16.5" customHeight="1">
      <c r="A132" s="6"/>
      <c r="B132" s="7"/>
      <c r="C132" s="27">
        <f>C$4</f>
        <v>23</v>
      </c>
      <c r="D132" s="27">
        <f t="shared" ref="D132:N132" si="99">D$4</f>
        <v>24</v>
      </c>
      <c r="E132" s="27">
        <f t="shared" si="99"/>
        <v>25</v>
      </c>
      <c r="F132" s="27">
        <f t="shared" si="99"/>
        <v>26</v>
      </c>
      <c r="G132" s="27">
        <f t="shared" si="99"/>
        <v>27</v>
      </c>
      <c r="H132" s="27">
        <f t="shared" si="99"/>
        <v>28</v>
      </c>
      <c r="I132" s="27">
        <f t="shared" si="99"/>
        <v>29</v>
      </c>
      <c r="J132" s="27">
        <f t="shared" si="99"/>
        <v>30</v>
      </c>
      <c r="K132" s="27">
        <f t="shared" si="99"/>
        <v>1</v>
      </c>
      <c r="L132" s="27">
        <f t="shared" si="99"/>
        <v>2</v>
      </c>
      <c r="M132" s="27">
        <f t="shared" si="99"/>
        <v>3</v>
      </c>
      <c r="N132" s="27">
        <f t="shared" si="99"/>
        <v>4</v>
      </c>
      <c r="Q132" s="252"/>
      <c r="R132" s="252"/>
      <c r="S132" s="252"/>
    </row>
    <row r="133" spans="1:19" ht="16.5" customHeight="1" thickBot="1">
      <c r="A133" s="12"/>
      <c r="B133" s="13"/>
      <c r="C133" s="28">
        <f>C$5</f>
        <v>2011</v>
      </c>
      <c r="D133" s="28">
        <f t="shared" ref="D133:N133" si="100">D$5</f>
        <v>2012</v>
      </c>
      <c r="E133" s="28">
        <f t="shared" si="100"/>
        <v>2013</v>
      </c>
      <c r="F133" s="28">
        <f t="shared" si="100"/>
        <v>2014</v>
      </c>
      <c r="G133" s="28">
        <f t="shared" si="100"/>
        <v>2015</v>
      </c>
      <c r="H133" s="28">
        <f t="shared" si="100"/>
        <v>2016</v>
      </c>
      <c r="I133" s="28">
        <f t="shared" si="100"/>
        <v>2017</v>
      </c>
      <c r="J133" s="28">
        <f t="shared" si="100"/>
        <v>2018</v>
      </c>
      <c r="K133" s="28">
        <f t="shared" si="100"/>
        <v>2019</v>
      </c>
      <c r="L133" s="28">
        <f t="shared" si="100"/>
        <v>2020</v>
      </c>
      <c r="M133" s="28">
        <f t="shared" si="100"/>
        <v>2021</v>
      </c>
      <c r="N133" s="28">
        <f t="shared" si="100"/>
        <v>2022</v>
      </c>
      <c r="Q133" s="24" t="s">
        <v>264</v>
      </c>
      <c r="S133" s="252" t="s">
        <v>262</v>
      </c>
    </row>
    <row r="134" spans="1:19" ht="16.5" customHeight="1" thickBot="1">
      <c r="A134" s="126" t="s">
        <v>159</v>
      </c>
      <c r="B134" s="23" t="s">
        <v>51</v>
      </c>
      <c r="C134" s="129">
        <f ca="1">INDIRECT("'"&amp;コード表!$C$3&amp;"'!"&amp;コード表!$D68&amp;コード表!C$12)</f>
        <v>44995</v>
      </c>
      <c r="D134" s="49">
        <f ca="1">INDIRECT("'"&amp;コード表!$C$3&amp;"'!"&amp;コード表!$D68&amp;コード表!D$12)</f>
        <v>50283</v>
      </c>
      <c r="E134" s="49">
        <f ca="1">INDIRECT("'"&amp;コード表!$C$3&amp;"'!"&amp;コード表!$D68&amp;コード表!E$12)</f>
        <v>47093</v>
      </c>
      <c r="F134" s="49">
        <f ca="1">INDIRECT("'"&amp;コード表!$C$3&amp;"'!"&amp;コード表!$D68&amp;コード表!F$12)</f>
        <v>50557</v>
      </c>
      <c r="G134" s="49">
        <f ca="1">INDIRECT("'"&amp;コード表!$C$3&amp;"'!"&amp;コード表!$D68&amp;コード表!G$12)</f>
        <v>48437</v>
      </c>
      <c r="H134" s="49">
        <f ca="1">INDIRECT("'"&amp;コード表!$C$3&amp;"'!"&amp;コード表!$D68&amp;コード表!H$12)</f>
        <v>66520</v>
      </c>
      <c r="I134" s="49">
        <f ca="1">INDIRECT("'"&amp;コード表!$C$3&amp;"'!"&amp;コード表!$D68&amp;コード表!I$12)</f>
        <v>53380</v>
      </c>
      <c r="J134" s="49">
        <f ca="1">INDIRECT("'"&amp;コード表!$C$3&amp;"'!"&amp;コード表!$D68&amp;コード表!J$12)</f>
        <v>49063</v>
      </c>
      <c r="K134" s="49">
        <f ca="1">INDIRECT("'"&amp;コード表!$C$3&amp;"'!"&amp;コード表!$D68&amp;コード表!K$12)</f>
        <v>46941</v>
      </c>
      <c r="L134" s="49">
        <f ca="1">INDIRECT("'"&amp;コード表!$C$3&amp;"'!"&amp;コード表!$D68&amp;コード表!L$12)</f>
        <v>37606</v>
      </c>
      <c r="M134" s="49">
        <f ca="1">INDIRECT("'"&amp;コード表!$C$3&amp;"'!"&amp;コード表!$D68&amp;コード表!M$12)</f>
        <v>45044</v>
      </c>
      <c r="N134" s="49">
        <f ca="1">INDIRECT("'"&amp;コード表!$C$3&amp;"'!"&amp;コード表!$D68&amp;コード表!N$12)</f>
        <v>35748</v>
      </c>
      <c r="Q134" s="242" t="str">
        <f>VLOOKUP(Q130,コード表!$B$108:$C$155,2,FALSE)</f>
        <v>那　　覇</v>
      </c>
      <c r="R134" s="254">
        <f ca="1">VLOOKUP(Q134,$B$165:$N$171,($S$134),FALSE)</f>
        <v>1393876</v>
      </c>
      <c r="S134" s="253">
        <f>HLOOKUP(コード表!$K$108,$C$162:$N$164,3,FALSE)</f>
        <v>13</v>
      </c>
    </row>
    <row r="135" spans="1:19" ht="16.5" customHeight="1">
      <c r="A135" s="126" t="s">
        <v>3</v>
      </c>
      <c r="B135" s="111" t="s">
        <v>52</v>
      </c>
      <c r="C135" s="36">
        <f ca="1">INDIRECT("'"&amp;コード表!$C$3&amp;"'!"&amp;コード表!$D69&amp;コード表!C$12)</f>
        <v>315</v>
      </c>
      <c r="D135" s="38">
        <f ca="1">INDIRECT("'"&amp;コード表!$C$3&amp;"'!"&amp;コード表!$D69&amp;コード表!D$12)</f>
        <v>293</v>
      </c>
      <c r="E135" s="38">
        <f ca="1">INDIRECT("'"&amp;コード表!$C$3&amp;"'!"&amp;コード表!$D69&amp;コード表!E$12)</f>
        <v>319</v>
      </c>
      <c r="F135" s="38">
        <f ca="1">INDIRECT("'"&amp;コード表!$C$3&amp;"'!"&amp;コード表!$D69&amp;コード表!F$12)</f>
        <v>361</v>
      </c>
      <c r="G135" s="38">
        <f ca="1">INDIRECT("'"&amp;コード表!$C$3&amp;"'!"&amp;コード表!$D69&amp;コード表!G$12)</f>
        <v>350</v>
      </c>
      <c r="H135" s="38">
        <f ca="1">INDIRECT("'"&amp;コード表!$C$3&amp;"'!"&amp;コード表!$D69&amp;コード表!H$12)</f>
        <v>354</v>
      </c>
      <c r="I135" s="38">
        <f ca="1">INDIRECT("'"&amp;コード表!$C$3&amp;"'!"&amp;コード表!$D69&amp;コード表!I$12)</f>
        <v>327</v>
      </c>
      <c r="J135" s="38">
        <f ca="1">INDIRECT("'"&amp;コード表!$C$3&amp;"'!"&amp;コード表!$D69&amp;コード表!J$12)</f>
        <v>322</v>
      </c>
      <c r="K135" s="38">
        <f ca="1">INDIRECT("'"&amp;コード表!$C$3&amp;"'!"&amp;コード表!$D69&amp;コード表!K$12)</f>
        <v>390</v>
      </c>
      <c r="L135" s="38">
        <f ca="1">INDIRECT("'"&amp;コード表!$C$3&amp;"'!"&amp;コード表!$D69&amp;コード表!L$12)</f>
        <v>419</v>
      </c>
      <c r="M135" s="38">
        <f ca="1">INDIRECT("'"&amp;コード表!$C$3&amp;"'!"&amp;コード表!$D69&amp;コード表!M$12)</f>
        <v>425</v>
      </c>
      <c r="N135" s="38">
        <f ca="1">INDIRECT("'"&amp;コード表!$C$3&amp;"'!"&amp;コード表!$D69&amp;コード表!N$12)</f>
        <v>364</v>
      </c>
      <c r="Q135" s="218" t="str">
        <f>地域分析!$B$2</f>
        <v>那 覇 市</v>
      </c>
      <c r="R135" s="219">
        <f ca="1">R129/R134</f>
        <v>1</v>
      </c>
    </row>
    <row r="136" spans="1:19" ht="16.5" customHeight="1">
      <c r="A136" s="126" t="s">
        <v>5</v>
      </c>
      <c r="B136" s="111" t="s">
        <v>53</v>
      </c>
      <c r="C136" s="36">
        <f ca="1">INDIRECT("'"&amp;コード表!$C$3&amp;"'!"&amp;コード表!$D70&amp;コード表!C$12)</f>
        <v>7380</v>
      </c>
      <c r="D136" s="38">
        <f ca="1">INDIRECT("'"&amp;コード表!$C$3&amp;"'!"&amp;コード表!$D70&amp;コード表!D$12)</f>
        <v>8313</v>
      </c>
      <c r="E136" s="38">
        <f ca="1">INDIRECT("'"&amp;コード表!$C$3&amp;"'!"&amp;コード表!$D70&amp;コード表!E$12)</f>
        <v>8068</v>
      </c>
      <c r="F136" s="38">
        <f ca="1">INDIRECT("'"&amp;コード表!$C$3&amp;"'!"&amp;コード表!$D70&amp;コード表!F$12)</f>
        <v>9031</v>
      </c>
      <c r="G136" s="38">
        <f ca="1">INDIRECT("'"&amp;コード表!$C$3&amp;"'!"&amp;コード表!$D70&amp;コード表!G$12)</f>
        <v>10852</v>
      </c>
      <c r="H136" s="38">
        <f ca="1">INDIRECT("'"&amp;コード表!$C$3&amp;"'!"&amp;コード表!$D70&amp;コード表!H$12)</f>
        <v>10808</v>
      </c>
      <c r="I136" s="38">
        <f ca="1">INDIRECT("'"&amp;コード表!$C$3&amp;"'!"&amp;コード表!$D70&amp;コード表!I$12)</f>
        <v>11361</v>
      </c>
      <c r="J136" s="38">
        <f ca="1">INDIRECT("'"&amp;コード表!$C$3&amp;"'!"&amp;コード表!$D70&amp;コード表!J$12)</f>
        <v>11288</v>
      </c>
      <c r="K136" s="38">
        <f ca="1">INDIRECT("'"&amp;コード表!$C$3&amp;"'!"&amp;コード表!$D70&amp;コード表!K$12)</f>
        <v>10516</v>
      </c>
      <c r="L136" s="38">
        <f ca="1">INDIRECT("'"&amp;コード表!$C$3&amp;"'!"&amp;コード表!$D70&amp;コード表!L$12)</f>
        <v>8631</v>
      </c>
      <c r="M136" s="38">
        <f ca="1">INDIRECT("'"&amp;コード表!$C$3&amp;"'!"&amp;コード表!$D70&amp;コード表!M$12)</f>
        <v>8221</v>
      </c>
      <c r="N136" s="38">
        <f ca="1">INDIRECT("'"&amp;コード表!$C$3&amp;"'!"&amp;コード表!$D70&amp;コード表!N$12)</f>
        <v>8017</v>
      </c>
      <c r="Q136" s="216" t="s">
        <v>265</v>
      </c>
      <c r="R136" s="219" t="e">
        <f ca="1">IF((1-R135)=0,NA(),(1-R135))</f>
        <v>#N/A</v>
      </c>
    </row>
    <row r="137" spans="1:19" ht="16.5" customHeight="1">
      <c r="A137" s="126" t="s">
        <v>7</v>
      </c>
      <c r="B137" s="23" t="s">
        <v>54</v>
      </c>
      <c r="C137" s="36">
        <f ca="1">INDIRECT("'"&amp;コード表!$C$3&amp;"'!"&amp;コード表!$D71&amp;コード表!C$12)</f>
        <v>3211</v>
      </c>
      <c r="D137" s="38">
        <f ca="1">INDIRECT("'"&amp;コード表!$C$3&amp;"'!"&amp;コード表!$D71&amp;コード表!D$12)</f>
        <v>3203</v>
      </c>
      <c r="E137" s="38">
        <f ca="1">INDIRECT("'"&amp;コード表!$C$3&amp;"'!"&amp;コード表!$D71&amp;コード表!E$12)</f>
        <v>3888</v>
      </c>
      <c r="F137" s="38">
        <f ca="1">INDIRECT("'"&amp;コード表!$C$3&amp;"'!"&amp;コード表!$D71&amp;コード表!F$12)</f>
        <v>4507</v>
      </c>
      <c r="G137" s="38">
        <f ca="1">INDIRECT("'"&amp;コード表!$C$3&amp;"'!"&amp;コード表!$D71&amp;コード表!G$12)</f>
        <v>5690</v>
      </c>
      <c r="H137" s="38">
        <f ca="1">INDIRECT("'"&amp;コード表!$C$3&amp;"'!"&amp;コード表!$D71&amp;コード表!H$12)</f>
        <v>6137</v>
      </c>
      <c r="I137" s="38">
        <f ca="1">INDIRECT("'"&amp;コード表!$C$3&amp;"'!"&amp;コード表!$D71&amp;コード表!I$12)</f>
        <v>7071</v>
      </c>
      <c r="J137" s="38">
        <f ca="1">INDIRECT("'"&amp;コード表!$C$3&amp;"'!"&amp;コード表!$D71&amp;コード表!J$12)</f>
        <v>7599</v>
      </c>
      <c r="K137" s="38">
        <f ca="1">INDIRECT("'"&amp;コード表!$C$3&amp;"'!"&amp;コード表!$D71&amp;コード表!K$12)</f>
        <v>8128</v>
      </c>
      <c r="L137" s="38">
        <f ca="1">INDIRECT("'"&amp;コード表!$C$3&amp;"'!"&amp;コード表!$D71&amp;コード表!L$12)</f>
        <v>8681</v>
      </c>
      <c r="M137" s="38">
        <f ca="1">INDIRECT("'"&amp;コード表!$C$3&amp;"'!"&amp;コード表!$D71&amp;コード表!M$12)</f>
        <v>8772</v>
      </c>
      <c r="N137" s="38">
        <f ca="1">INDIRECT("'"&amp;コード表!$C$3&amp;"'!"&amp;コード表!$D71&amp;コード表!N$12)</f>
        <v>10741</v>
      </c>
    </row>
    <row r="138" spans="1:19" ht="16.5" customHeight="1">
      <c r="A138" s="126" t="s">
        <v>9</v>
      </c>
      <c r="B138" s="111" t="s">
        <v>55</v>
      </c>
      <c r="C138" s="36">
        <f ca="1">INDIRECT("'"&amp;コード表!$C$3&amp;"'!"&amp;コード表!$D72&amp;コード表!C$12)</f>
        <v>204396</v>
      </c>
      <c r="D138" s="38">
        <f ca="1">INDIRECT("'"&amp;コード表!$C$3&amp;"'!"&amp;コード表!$D72&amp;コード表!D$12)</f>
        <v>163353</v>
      </c>
      <c r="E138" s="38">
        <f ca="1">INDIRECT("'"&amp;コード表!$C$3&amp;"'!"&amp;コード表!$D72&amp;コード表!E$12)</f>
        <v>172069</v>
      </c>
      <c r="F138" s="38">
        <f ca="1">INDIRECT("'"&amp;コード表!$C$3&amp;"'!"&amp;コード表!$D72&amp;コード表!F$12)</f>
        <v>166337</v>
      </c>
      <c r="G138" s="38">
        <f ca="1">INDIRECT("'"&amp;コード表!$C$3&amp;"'!"&amp;コード表!$D72&amp;コード表!G$12)</f>
        <v>188524</v>
      </c>
      <c r="H138" s="38">
        <f ca="1">INDIRECT("'"&amp;コード表!$C$3&amp;"'!"&amp;コード表!$D72&amp;コード表!H$12)</f>
        <v>192470</v>
      </c>
      <c r="I138" s="38">
        <f ca="1">INDIRECT("'"&amp;コード表!$C$3&amp;"'!"&amp;コード表!$D72&amp;コード表!I$12)</f>
        <v>191567</v>
      </c>
      <c r="J138" s="38">
        <f ca="1">INDIRECT("'"&amp;コード表!$C$3&amp;"'!"&amp;コード表!$D72&amp;コード表!J$12)</f>
        <v>193283</v>
      </c>
      <c r="K138" s="38">
        <f ca="1">INDIRECT("'"&amp;コード表!$C$3&amp;"'!"&amp;コード表!$D72&amp;コード表!K$12)</f>
        <v>189432</v>
      </c>
      <c r="L138" s="38">
        <f ca="1">INDIRECT("'"&amp;コード表!$C$3&amp;"'!"&amp;コード表!$D72&amp;コード表!L$12)</f>
        <v>204700</v>
      </c>
      <c r="M138" s="38">
        <f ca="1">INDIRECT("'"&amp;コード表!$C$3&amp;"'!"&amp;コード表!$D72&amp;コード表!M$12)</f>
        <v>187025</v>
      </c>
      <c r="N138" s="38">
        <f ca="1">INDIRECT("'"&amp;コード表!$C$3&amp;"'!"&amp;コード表!$D72&amp;コード表!N$12)</f>
        <v>180051</v>
      </c>
    </row>
    <row r="139" spans="1:19" ht="16.5" customHeight="1">
      <c r="A139" s="126" t="s">
        <v>11</v>
      </c>
      <c r="B139" s="111" t="s">
        <v>57</v>
      </c>
      <c r="C139" s="36">
        <f ca="1">INDIRECT("'"&amp;コード表!$C$3&amp;"'!"&amp;コード表!$D74&amp;コード表!C$12)</f>
        <v>254969</v>
      </c>
      <c r="D139" s="38">
        <f ca="1">INDIRECT("'"&amp;コード表!$C$3&amp;"'!"&amp;コード表!$D74&amp;コード表!D$12)</f>
        <v>250186</v>
      </c>
      <c r="E139" s="38">
        <f ca="1">INDIRECT("'"&amp;コード表!$C$3&amp;"'!"&amp;コード表!$D74&amp;コード表!E$12)</f>
        <v>302805</v>
      </c>
      <c r="F139" s="38">
        <f ca="1">INDIRECT("'"&amp;コード表!$C$3&amp;"'!"&amp;コード表!$D74&amp;コード表!F$12)</f>
        <v>331952</v>
      </c>
      <c r="G139" s="38">
        <f ca="1">INDIRECT("'"&amp;コード表!$C$3&amp;"'!"&amp;コード表!$D74&amp;コード表!G$12)</f>
        <v>383559</v>
      </c>
      <c r="H139" s="38">
        <f ca="1">INDIRECT("'"&amp;コード表!$C$3&amp;"'!"&amp;コード表!$D74&amp;コード表!H$12)</f>
        <v>410145</v>
      </c>
      <c r="I139" s="38">
        <f ca="1">INDIRECT("'"&amp;コード表!$C$3&amp;"'!"&amp;コード表!$D74&amp;コード表!I$12)</f>
        <v>447606</v>
      </c>
      <c r="J139" s="38">
        <f ca="1">INDIRECT("'"&amp;コード表!$C$3&amp;"'!"&amp;コード表!$D74&amp;コード表!J$12)</f>
        <v>455228</v>
      </c>
      <c r="K139" s="38">
        <f ca="1">INDIRECT("'"&amp;コード表!$C$3&amp;"'!"&amp;コード表!$D74&amp;コード表!K$12)</f>
        <v>473538</v>
      </c>
      <c r="L139" s="38">
        <f ca="1">INDIRECT("'"&amp;コード表!$C$3&amp;"'!"&amp;コード表!$D74&amp;コード表!L$12)</f>
        <v>389869</v>
      </c>
      <c r="M139" s="38">
        <f ca="1">INDIRECT("'"&amp;コード表!$C$3&amp;"'!"&amp;コード表!$D74&amp;コード表!M$12)</f>
        <v>470886</v>
      </c>
      <c r="N139" s="38">
        <f ca="1">INDIRECT("'"&amp;コード表!$C$3&amp;"'!"&amp;コード表!$D74&amp;コード表!N$12)</f>
        <v>398736</v>
      </c>
    </row>
    <row r="140" spans="1:19" ht="16.5" customHeight="1">
      <c r="A140" s="126" t="s">
        <v>13</v>
      </c>
      <c r="B140" s="111" t="s">
        <v>56</v>
      </c>
      <c r="C140" s="36">
        <f ca="1">INDIRECT("'"&amp;コード表!$C$3&amp;"'!"&amp;コード表!$D73&amp;コード表!C$12)</f>
        <v>141510</v>
      </c>
      <c r="D140" s="38">
        <f ca="1">INDIRECT("'"&amp;コード表!$C$3&amp;"'!"&amp;コード表!$D73&amp;コード表!D$12)</f>
        <v>138591</v>
      </c>
      <c r="E140" s="38">
        <f ca="1">INDIRECT("'"&amp;コード表!$C$3&amp;"'!"&amp;コード表!$D73&amp;コード表!E$12)</f>
        <v>147145</v>
      </c>
      <c r="F140" s="38">
        <f ca="1">INDIRECT("'"&amp;コード表!$C$3&amp;"'!"&amp;コード表!$D73&amp;コード表!F$12)</f>
        <v>159702</v>
      </c>
      <c r="G140" s="38">
        <f ca="1">INDIRECT("'"&amp;コード表!$C$3&amp;"'!"&amp;コード表!$D73&amp;コード表!G$12)</f>
        <v>166117</v>
      </c>
      <c r="H140" s="38">
        <f ca="1">INDIRECT("'"&amp;コード表!$C$3&amp;"'!"&amp;コード表!$D73&amp;コード表!H$12)</f>
        <v>166785</v>
      </c>
      <c r="I140" s="38">
        <f ca="1">INDIRECT("'"&amp;コード表!$C$3&amp;"'!"&amp;コード表!$D73&amp;コード表!I$12)</f>
        <v>171283</v>
      </c>
      <c r="J140" s="38">
        <f ca="1">INDIRECT("'"&amp;コード表!$C$3&amp;"'!"&amp;コード表!$D73&amp;コード表!J$12)</f>
        <v>168054</v>
      </c>
      <c r="K140" s="38">
        <f ca="1">INDIRECT("'"&amp;コード表!$C$3&amp;"'!"&amp;コード表!$D73&amp;コード表!K$12)</f>
        <v>182038</v>
      </c>
      <c r="L140" s="38">
        <f ca="1">INDIRECT("'"&amp;コード表!$C$3&amp;"'!"&amp;コード表!$D73&amp;コード表!L$12)</f>
        <v>186091</v>
      </c>
      <c r="M140" s="38">
        <f ca="1">INDIRECT("'"&amp;コード表!$C$3&amp;"'!"&amp;コード表!$D73&amp;コード表!M$12)</f>
        <v>181403</v>
      </c>
      <c r="N140" s="38">
        <f ca="1">INDIRECT("'"&amp;コード表!$C$3&amp;"'!"&amp;コード表!$D73&amp;コード表!N$12)</f>
        <v>88424</v>
      </c>
    </row>
    <row r="141" spans="1:19" ht="16.5" customHeight="1">
      <c r="A141" s="126" t="s">
        <v>15</v>
      </c>
      <c r="B141" s="111" t="s">
        <v>58</v>
      </c>
      <c r="C141" s="36">
        <f ca="1">INDIRECT("'"&amp;コード表!$C$3&amp;"'!"&amp;コード表!$D75&amp;コード表!C$12)</f>
        <v>379415</v>
      </c>
      <c r="D141" s="38">
        <f ca="1">INDIRECT("'"&amp;コード表!$C$3&amp;"'!"&amp;コード表!$D75&amp;コード表!D$12)</f>
        <v>394115</v>
      </c>
      <c r="E141" s="38">
        <f ca="1">INDIRECT("'"&amp;コード表!$C$3&amp;"'!"&amp;コード表!$D75&amp;コード表!E$12)</f>
        <v>414289</v>
      </c>
      <c r="F141" s="38">
        <f ca="1">INDIRECT("'"&amp;コード表!$C$3&amp;"'!"&amp;コード表!$D75&amp;コード表!F$12)</f>
        <v>409943</v>
      </c>
      <c r="G141" s="38">
        <f ca="1">INDIRECT("'"&amp;コード表!$C$3&amp;"'!"&amp;コード表!$D75&amp;コード表!G$12)</f>
        <v>413862</v>
      </c>
      <c r="H141" s="38">
        <f ca="1">INDIRECT("'"&amp;コード表!$C$3&amp;"'!"&amp;コード表!$D75&amp;コード表!H$12)</f>
        <v>412091</v>
      </c>
      <c r="I141" s="38">
        <f ca="1">INDIRECT("'"&amp;コード表!$C$3&amp;"'!"&amp;コード表!$D75&amp;コード表!I$12)</f>
        <v>424960</v>
      </c>
      <c r="J141" s="38">
        <f ca="1">INDIRECT("'"&amp;コード表!$C$3&amp;"'!"&amp;コード表!$D75&amp;コード表!J$12)</f>
        <v>420644</v>
      </c>
      <c r="K141" s="38">
        <f ca="1">INDIRECT("'"&amp;コード表!$C$3&amp;"'!"&amp;コード表!$D75&amp;コード表!K$12)</f>
        <v>410688</v>
      </c>
      <c r="L141" s="38">
        <f ca="1">INDIRECT("'"&amp;コード表!$C$3&amp;"'!"&amp;コード表!$D75&amp;コード表!L$12)</f>
        <v>383715</v>
      </c>
      <c r="M141" s="38">
        <f ca="1">INDIRECT("'"&amp;コード表!$C$3&amp;"'!"&amp;コード表!$D75&amp;コード表!M$12)</f>
        <v>403965</v>
      </c>
      <c r="N141" s="38">
        <f ca="1">INDIRECT("'"&amp;コード表!$C$3&amp;"'!"&amp;コード表!$D75&amp;コード表!N$12)</f>
        <v>421393</v>
      </c>
    </row>
    <row r="142" spans="1:19" ht="16.5" customHeight="1">
      <c r="A142" s="126" t="s">
        <v>16</v>
      </c>
      <c r="B142" s="111" t="s">
        <v>59</v>
      </c>
      <c r="C142" s="36">
        <f ca="1">INDIRECT("'"&amp;コード表!$C$3&amp;"'!"&amp;コード表!$D76&amp;コード表!C$12)</f>
        <v>239710</v>
      </c>
      <c r="D142" s="38">
        <f ca="1">INDIRECT("'"&amp;コード表!$C$3&amp;"'!"&amp;コード表!$D76&amp;コード表!D$12)</f>
        <v>238099</v>
      </c>
      <c r="E142" s="38">
        <f ca="1">INDIRECT("'"&amp;コード表!$C$3&amp;"'!"&amp;コード表!$D76&amp;コード表!E$12)</f>
        <v>250788</v>
      </c>
      <c r="F142" s="38">
        <f ca="1">INDIRECT("'"&amp;コード表!$C$3&amp;"'!"&amp;コード表!$D76&amp;コード表!F$12)</f>
        <v>247565</v>
      </c>
      <c r="G142" s="38">
        <f ca="1">INDIRECT("'"&amp;コード表!$C$3&amp;"'!"&amp;コード表!$D76&amp;コード表!G$12)</f>
        <v>262743</v>
      </c>
      <c r="H142" s="38">
        <f ca="1">INDIRECT("'"&amp;コード表!$C$3&amp;"'!"&amp;コード表!$D76&amp;コード表!H$12)</f>
        <v>283439</v>
      </c>
      <c r="I142" s="38">
        <f ca="1">INDIRECT("'"&amp;コード表!$C$3&amp;"'!"&amp;コード表!$D76&amp;コード表!I$12)</f>
        <v>286484</v>
      </c>
      <c r="J142" s="38">
        <f ca="1">INDIRECT("'"&amp;コード表!$C$3&amp;"'!"&amp;コード表!$D76&amp;コード表!J$12)</f>
        <v>289560</v>
      </c>
      <c r="K142" s="38">
        <f ca="1">INDIRECT("'"&amp;コード表!$C$3&amp;"'!"&amp;コード表!$D76&amp;コード表!K$12)</f>
        <v>284517</v>
      </c>
      <c r="L142" s="38">
        <f ca="1">INDIRECT("'"&amp;コード表!$C$3&amp;"'!"&amp;コード表!$D76&amp;コード表!L$12)</f>
        <v>192488</v>
      </c>
      <c r="M142" s="38">
        <f ca="1">INDIRECT("'"&amp;コード表!$C$3&amp;"'!"&amp;コード表!$D76&amp;コード表!M$12)</f>
        <v>202182</v>
      </c>
      <c r="N142" s="38">
        <f ca="1">INDIRECT("'"&amp;コード表!$C$3&amp;"'!"&amp;コード表!$D76&amp;コード表!N$12)</f>
        <v>285382</v>
      </c>
    </row>
    <row r="143" spans="1:19" ht="16.5" customHeight="1">
      <c r="A143" s="18">
        <v>10</v>
      </c>
      <c r="B143" s="111" t="s">
        <v>60</v>
      </c>
      <c r="C143" s="36">
        <f ca="1">INDIRECT("'"&amp;コード表!$C$3&amp;"'!"&amp;コード表!$D77&amp;コード表!C$12)</f>
        <v>153934</v>
      </c>
      <c r="D143" s="38">
        <f ca="1">INDIRECT("'"&amp;コード表!$C$3&amp;"'!"&amp;コード表!$D77&amp;コード表!D$12)</f>
        <v>153092</v>
      </c>
      <c r="E143" s="38">
        <f ca="1">INDIRECT("'"&amp;コード表!$C$3&amp;"'!"&amp;コード表!$D77&amp;コード表!E$12)</f>
        <v>159994</v>
      </c>
      <c r="F143" s="38">
        <f ca="1">INDIRECT("'"&amp;コード表!$C$3&amp;"'!"&amp;コード表!$D77&amp;コード表!F$12)</f>
        <v>159645</v>
      </c>
      <c r="G143" s="38">
        <f ca="1">INDIRECT("'"&amp;コード表!$C$3&amp;"'!"&amp;コード表!$D77&amp;コード表!G$12)</f>
        <v>165042</v>
      </c>
      <c r="H143" s="38">
        <f ca="1">INDIRECT("'"&amp;コード表!$C$3&amp;"'!"&amp;コード表!$D77&amp;コード表!H$12)</f>
        <v>186420</v>
      </c>
      <c r="I143" s="38">
        <f ca="1">INDIRECT("'"&amp;コード表!$C$3&amp;"'!"&amp;コード表!$D77&amp;コード表!I$12)</f>
        <v>196319</v>
      </c>
      <c r="J143" s="38">
        <f ca="1">INDIRECT("'"&amp;コード表!$C$3&amp;"'!"&amp;コード表!$D77&amp;コード表!J$12)</f>
        <v>202270</v>
      </c>
      <c r="K143" s="38">
        <f ca="1">INDIRECT("'"&amp;コード表!$C$3&amp;"'!"&amp;コード表!$D77&amp;コード表!K$12)</f>
        <v>190780</v>
      </c>
      <c r="L143" s="38">
        <f ca="1">INDIRECT("'"&amp;コード表!$C$3&amp;"'!"&amp;コード表!$D77&amp;コード表!L$12)</f>
        <v>111341</v>
      </c>
      <c r="M143" s="38">
        <f ca="1">INDIRECT("'"&amp;コード表!$C$3&amp;"'!"&amp;コード表!$D77&amp;コード表!M$12)</f>
        <v>107464</v>
      </c>
      <c r="N143" s="38">
        <f ca="1">INDIRECT("'"&amp;コード表!$C$3&amp;"'!"&amp;コード表!$D77&amp;コード表!N$12)</f>
        <v>168075</v>
      </c>
    </row>
    <row r="144" spans="1:19" ht="16.5" customHeight="1">
      <c r="A144" s="18">
        <v>11</v>
      </c>
      <c r="B144" s="111" t="s">
        <v>61</v>
      </c>
      <c r="C144" s="36">
        <f ca="1">INDIRECT("'"&amp;コード表!$C$3&amp;"'!"&amp;コード表!$D78&amp;コード表!C$12)</f>
        <v>176104</v>
      </c>
      <c r="D144" s="38">
        <f ca="1">INDIRECT("'"&amp;コード表!$C$3&amp;"'!"&amp;コード表!$D78&amp;コード表!D$12)</f>
        <v>186100</v>
      </c>
      <c r="E144" s="38">
        <f ca="1">INDIRECT("'"&amp;コード表!$C$3&amp;"'!"&amp;コード表!$D78&amp;コード表!E$12)</f>
        <v>192395</v>
      </c>
      <c r="F144" s="38">
        <f ca="1">INDIRECT("'"&amp;コード表!$C$3&amp;"'!"&amp;コード表!$D78&amp;コード表!F$12)</f>
        <v>188913</v>
      </c>
      <c r="G144" s="38">
        <f ca="1">INDIRECT("'"&amp;コード表!$C$3&amp;"'!"&amp;コード表!$D78&amp;コード表!G$12)</f>
        <v>195210</v>
      </c>
      <c r="H144" s="38">
        <f ca="1">INDIRECT("'"&amp;コード表!$C$3&amp;"'!"&amp;コード表!$D78&amp;コード表!H$12)</f>
        <v>201078</v>
      </c>
      <c r="I144" s="38">
        <f ca="1">INDIRECT("'"&amp;コード表!$C$3&amp;"'!"&amp;コード表!$D78&amp;コード表!I$12)</f>
        <v>194731</v>
      </c>
      <c r="J144" s="38">
        <f ca="1">INDIRECT("'"&amp;コード表!$C$3&amp;"'!"&amp;コード表!$D78&amp;コード表!J$12)</f>
        <v>194850</v>
      </c>
      <c r="K144" s="38">
        <f ca="1">INDIRECT("'"&amp;コード表!$C$3&amp;"'!"&amp;コード表!$D78&amp;コード表!K$12)</f>
        <v>180581</v>
      </c>
      <c r="L144" s="38">
        <f ca="1">INDIRECT("'"&amp;コード表!$C$3&amp;"'!"&amp;コード表!$D78&amp;コード表!L$12)</f>
        <v>179786</v>
      </c>
      <c r="M144" s="38">
        <f ca="1">INDIRECT("'"&amp;コード表!$C$3&amp;"'!"&amp;コード表!$D78&amp;コード表!M$12)</f>
        <v>172332</v>
      </c>
      <c r="N144" s="38">
        <f ca="1">INDIRECT("'"&amp;コード表!$C$3&amp;"'!"&amp;コード表!$D78&amp;コード表!N$12)</f>
        <v>168241</v>
      </c>
    </row>
    <row r="145" spans="1:14" ht="16.5" customHeight="1">
      <c r="A145" s="18">
        <v>12</v>
      </c>
      <c r="B145" s="111" t="s">
        <v>62</v>
      </c>
      <c r="C145" s="36">
        <f ca="1">INDIRECT("'"&amp;コード表!$C$3&amp;"'!"&amp;コード表!$D79&amp;コード表!C$12)</f>
        <v>143940</v>
      </c>
      <c r="D145" s="38">
        <f ca="1">INDIRECT("'"&amp;コード表!$C$3&amp;"'!"&amp;コード表!$D79&amp;コード表!D$12)</f>
        <v>138700</v>
      </c>
      <c r="E145" s="38">
        <f ca="1">INDIRECT("'"&amp;コード表!$C$3&amp;"'!"&amp;コード表!$D79&amp;コード表!E$12)</f>
        <v>144380</v>
      </c>
      <c r="F145" s="38">
        <f ca="1">INDIRECT("'"&amp;コード表!$C$3&amp;"'!"&amp;コード表!$D79&amp;コード表!F$12)</f>
        <v>142529</v>
      </c>
      <c r="G145" s="38">
        <f ca="1">INDIRECT("'"&amp;コード表!$C$3&amp;"'!"&amp;コード表!$D79&amp;コード表!G$12)</f>
        <v>147509</v>
      </c>
      <c r="H145" s="38">
        <f ca="1">INDIRECT("'"&amp;コード表!$C$3&amp;"'!"&amp;コード表!$D79&amp;コード表!H$12)</f>
        <v>138298</v>
      </c>
      <c r="I145" s="38">
        <f ca="1">INDIRECT("'"&amp;コード表!$C$3&amp;"'!"&amp;コード表!$D79&amp;コード表!I$12)</f>
        <v>141931</v>
      </c>
      <c r="J145" s="38">
        <f ca="1">INDIRECT("'"&amp;コード表!$C$3&amp;"'!"&amp;コード表!$D79&amp;コード表!J$12)</f>
        <v>146137</v>
      </c>
      <c r="K145" s="38">
        <f ca="1">INDIRECT("'"&amp;コード表!$C$3&amp;"'!"&amp;コード表!$D79&amp;コード表!K$12)</f>
        <v>152631</v>
      </c>
      <c r="L145" s="38">
        <f ca="1">INDIRECT("'"&amp;コード表!$C$3&amp;"'!"&amp;コード表!$D79&amp;コード表!L$12)</f>
        <v>150230</v>
      </c>
      <c r="M145" s="38">
        <f ca="1">INDIRECT("'"&amp;コード表!$C$3&amp;"'!"&amp;コード表!$D79&amp;コード表!M$12)</f>
        <v>155770</v>
      </c>
      <c r="N145" s="38">
        <f ca="1">INDIRECT("'"&amp;コード表!$C$3&amp;"'!"&amp;コード表!$D79&amp;コード表!N$12)</f>
        <v>175765</v>
      </c>
    </row>
    <row r="146" spans="1:14" ht="16.5" customHeight="1">
      <c r="A146" s="18">
        <v>13</v>
      </c>
      <c r="B146" s="111" t="s">
        <v>63</v>
      </c>
      <c r="C146" s="36">
        <f ca="1">INDIRECT("'"&amp;コード表!$C$3&amp;"'!"&amp;コード表!$D80&amp;コード表!C$12)</f>
        <v>457854</v>
      </c>
      <c r="D146" s="38">
        <f ca="1">INDIRECT("'"&amp;コード表!$C$3&amp;"'!"&amp;コード表!$D80&amp;コード表!D$12)</f>
        <v>459516</v>
      </c>
      <c r="E146" s="38">
        <f ca="1">INDIRECT("'"&amp;コード表!$C$3&amp;"'!"&amp;コード表!$D80&amp;コード表!E$12)</f>
        <v>461131</v>
      </c>
      <c r="F146" s="38">
        <f ca="1">INDIRECT("'"&amp;コード表!$C$3&amp;"'!"&amp;コード表!$D80&amp;コード表!F$12)</f>
        <v>474615</v>
      </c>
      <c r="G146" s="38">
        <f ca="1">INDIRECT("'"&amp;コード表!$C$3&amp;"'!"&amp;コード表!$D80&amp;コード表!G$12)</f>
        <v>480073</v>
      </c>
      <c r="H146" s="38">
        <f ca="1">INDIRECT("'"&amp;コード表!$C$3&amp;"'!"&amp;コード表!$D80&amp;コード表!H$12)</f>
        <v>487225</v>
      </c>
      <c r="I146" s="38">
        <f ca="1">INDIRECT("'"&amp;コード表!$C$3&amp;"'!"&amp;コード表!$D80&amp;コード表!I$12)</f>
        <v>507635</v>
      </c>
      <c r="J146" s="38">
        <f ca="1">INDIRECT("'"&amp;コード表!$C$3&amp;"'!"&amp;コード表!$D80&amp;コード表!J$12)</f>
        <v>518526</v>
      </c>
      <c r="K146" s="38">
        <f ca="1">INDIRECT("'"&amp;コード表!$C$3&amp;"'!"&amp;コード表!$D80&amp;コード表!K$12)</f>
        <v>533583</v>
      </c>
      <c r="L146" s="38">
        <f ca="1">INDIRECT("'"&amp;コード表!$C$3&amp;"'!"&amp;コード表!$D80&amp;コード表!L$12)</f>
        <v>548898</v>
      </c>
      <c r="M146" s="38">
        <f ca="1">INDIRECT("'"&amp;コード表!$C$3&amp;"'!"&amp;コード表!$D80&amp;コード表!M$12)</f>
        <v>553773</v>
      </c>
      <c r="N146" s="38">
        <f ca="1">INDIRECT("'"&amp;コード表!$C$3&amp;"'!"&amp;コード表!$D80&amp;コード表!N$12)</f>
        <v>561702</v>
      </c>
    </row>
    <row r="147" spans="1:14" ht="16.5" customHeight="1">
      <c r="A147" s="18">
        <v>14</v>
      </c>
      <c r="B147" s="111" t="s">
        <v>64</v>
      </c>
      <c r="C147" s="36">
        <f ca="1">INDIRECT("'"&amp;コード表!$C$3&amp;"'!"&amp;コード表!$D81&amp;コード表!C$12)</f>
        <v>319638</v>
      </c>
      <c r="D147" s="38">
        <f ca="1">INDIRECT("'"&amp;コード表!$C$3&amp;"'!"&amp;コード表!$D81&amp;コード表!D$12)</f>
        <v>333779</v>
      </c>
      <c r="E147" s="38">
        <f ca="1">INDIRECT("'"&amp;コード表!$C$3&amp;"'!"&amp;コード表!$D81&amp;コード表!E$12)</f>
        <v>350320</v>
      </c>
      <c r="F147" s="38">
        <f ca="1">INDIRECT("'"&amp;コード表!$C$3&amp;"'!"&amp;コード表!$D81&amp;コード表!F$12)</f>
        <v>360665</v>
      </c>
      <c r="G147" s="38">
        <f ca="1">INDIRECT("'"&amp;コード表!$C$3&amp;"'!"&amp;コード表!$D81&amp;コード表!G$12)</f>
        <v>395049</v>
      </c>
      <c r="H147" s="38">
        <f ca="1">INDIRECT("'"&amp;コード表!$C$3&amp;"'!"&amp;コード表!$D81&amp;コード表!H$12)</f>
        <v>426594</v>
      </c>
      <c r="I147" s="38">
        <f ca="1">INDIRECT("'"&amp;コード表!$C$3&amp;"'!"&amp;コード表!$D81&amp;コード表!I$12)</f>
        <v>422330</v>
      </c>
      <c r="J147" s="38">
        <f ca="1">INDIRECT("'"&amp;コード表!$C$3&amp;"'!"&amp;コード表!$D81&amp;コード表!J$12)</f>
        <v>425187</v>
      </c>
      <c r="K147" s="38">
        <f ca="1">INDIRECT("'"&amp;コード表!$C$3&amp;"'!"&amp;コード表!$D81&amp;コード表!K$12)</f>
        <v>416211</v>
      </c>
      <c r="L147" s="38">
        <f ca="1">INDIRECT("'"&amp;コード表!$C$3&amp;"'!"&amp;コード表!$D81&amp;コード表!L$12)</f>
        <v>423251</v>
      </c>
      <c r="M147" s="38">
        <f ca="1">INDIRECT("'"&amp;コード表!$C$3&amp;"'!"&amp;コード表!$D81&amp;コード表!M$12)</f>
        <v>449294</v>
      </c>
      <c r="N147" s="38">
        <f ca="1">INDIRECT("'"&amp;コード表!$C$3&amp;"'!"&amp;コード表!$D81&amp;コード表!N$12)</f>
        <v>483505</v>
      </c>
    </row>
    <row r="148" spans="1:14" ht="16.5" customHeight="1">
      <c r="A148" s="18">
        <v>15</v>
      </c>
      <c r="B148" s="111" t="s">
        <v>65</v>
      </c>
      <c r="C148" s="36">
        <f ca="1">INDIRECT("'"&amp;コード表!$C$3&amp;"'!"&amp;コード表!$D82&amp;コード表!C$12)</f>
        <v>372691</v>
      </c>
      <c r="D148" s="38">
        <f ca="1">INDIRECT("'"&amp;コード表!$C$3&amp;"'!"&amp;コード表!$D82&amp;コード表!D$12)</f>
        <v>372204</v>
      </c>
      <c r="E148" s="38">
        <f ca="1">INDIRECT("'"&amp;コード表!$C$3&amp;"'!"&amp;コード表!$D82&amp;コード表!E$12)</f>
        <v>361683</v>
      </c>
      <c r="F148" s="38">
        <f ca="1">INDIRECT("'"&amp;コード表!$C$3&amp;"'!"&amp;コード表!$D82&amp;コード表!F$12)</f>
        <v>374301</v>
      </c>
      <c r="G148" s="38">
        <f ca="1">INDIRECT("'"&amp;コード表!$C$3&amp;"'!"&amp;コード表!$D82&amp;コード表!G$12)</f>
        <v>384405</v>
      </c>
      <c r="H148" s="38">
        <f ca="1">INDIRECT("'"&amp;コード表!$C$3&amp;"'!"&amp;コード表!$D82&amp;コード表!H$12)</f>
        <v>391573</v>
      </c>
      <c r="I148" s="38">
        <f ca="1">INDIRECT("'"&amp;コード表!$C$3&amp;"'!"&amp;コード表!$D82&amp;コード表!I$12)</f>
        <v>402009</v>
      </c>
      <c r="J148" s="38">
        <f ca="1">INDIRECT("'"&amp;コード表!$C$3&amp;"'!"&amp;コード表!$D82&amp;コード表!J$12)</f>
        <v>415246</v>
      </c>
      <c r="K148" s="38">
        <f ca="1">INDIRECT("'"&amp;コード表!$C$3&amp;"'!"&amp;コード表!$D82&amp;コード表!K$12)</f>
        <v>434076</v>
      </c>
      <c r="L148" s="38">
        <f ca="1">INDIRECT("'"&amp;コード表!$C$3&amp;"'!"&amp;コード表!$D82&amp;コード表!L$12)</f>
        <v>418567</v>
      </c>
      <c r="M148" s="38">
        <f ca="1">INDIRECT("'"&amp;コード表!$C$3&amp;"'!"&amp;コード表!$D82&amp;コード表!M$12)</f>
        <v>426328</v>
      </c>
      <c r="N148" s="38">
        <f ca="1">INDIRECT("'"&amp;コード表!$C$3&amp;"'!"&amp;コード表!$D82&amp;コード表!N$12)</f>
        <v>441237</v>
      </c>
    </row>
    <row r="149" spans="1:14" ht="16.5" customHeight="1">
      <c r="A149" s="18">
        <v>16</v>
      </c>
      <c r="B149" s="111" t="s">
        <v>66</v>
      </c>
      <c r="C149" s="36">
        <f ca="1">INDIRECT("'"&amp;コード表!$C$3&amp;"'!"&amp;コード表!$D83&amp;コード表!C$12)</f>
        <v>214907</v>
      </c>
      <c r="D149" s="38">
        <f ca="1">INDIRECT("'"&amp;コード表!$C$3&amp;"'!"&amp;コード表!$D83&amp;コード表!D$12)</f>
        <v>216077</v>
      </c>
      <c r="E149" s="38">
        <f ca="1">INDIRECT("'"&amp;コード表!$C$3&amp;"'!"&amp;コード表!$D83&amp;コード表!E$12)</f>
        <v>212193</v>
      </c>
      <c r="F149" s="38">
        <f ca="1">INDIRECT("'"&amp;コード表!$C$3&amp;"'!"&amp;コード表!$D83&amp;コード表!F$12)</f>
        <v>219620</v>
      </c>
      <c r="G149" s="38">
        <f ca="1">INDIRECT("'"&amp;コード表!$C$3&amp;"'!"&amp;コード表!$D83&amp;コード表!G$12)</f>
        <v>225457</v>
      </c>
      <c r="H149" s="38">
        <f ca="1">INDIRECT("'"&amp;コード表!$C$3&amp;"'!"&amp;コード表!$D83&amp;コード表!H$12)</f>
        <v>227462</v>
      </c>
      <c r="I149" s="38">
        <f ca="1">INDIRECT("'"&amp;コード表!$C$3&amp;"'!"&amp;コード表!$D83&amp;コード表!I$12)</f>
        <v>234358</v>
      </c>
      <c r="J149" s="38">
        <f ca="1">INDIRECT("'"&amp;コード表!$C$3&amp;"'!"&amp;コード表!$D83&amp;コード表!J$12)</f>
        <v>238403</v>
      </c>
      <c r="K149" s="38">
        <f ca="1">INDIRECT("'"&amp;コード表!$C$3&amp;"'!"&amp;コード表!$D83&amp;コード表!K$12)</f>
        <v>241043</v>
      </c>
      <c r="L149" s="38">
        <f ca="1">INDIRECT("'"&amp;コード表!$C$3&amp;"'!"&amp;コード表!$D83&amp;コード表!L$12)</f>
        <v>248052</v>
      </c>
      <c r="M149" s="38">
        <f ca="1">INDIRECT("'"&amp;コード表!$C$3&amp;"'!"&amp;コード表!$D83&amp;コード表!M$12)</f>
        <v>256844</v>
      </c>
      <c r="N149" s="38">
        <f ca="1">INDIRECT("'"&amp;コード表!$C$3&amp;"'!"&amp;コード表!$D83&amp;コード表!N$12)</f>
        <v>262517</v>
      </c>
    </row>
    <row r="150" spans="1:14" ht="16.5" customHeight="1">
      <c r="A150" s="18">
        <v>17</v>
      </c>
      <c r="B150" s="111" t="s">
        <v>67</v>
      </c>
      <c r="C150" s="36">
        <f ca="1">INDIRECT("'"&amp;コード表!$C$3&amp;"'!"&amp;コード表!$D84&amp;コード表!C$12)</f>
        <v>408353</v>
      </c>
      <c r="D150" s="38">
        <f ca="1">INDIRECT("'"&amp;コード表!$C$3&amp;"'!"&amp;コード表!$D84&amp;コード表!D$12)</f>
        <v>429089</v>
      </c>
      <c r="E150" s="38">
        <f ca="1">INDIRECT("'"&amp;コード表!$C$3&amp;"'!"&amp;コード表!$D84&amp;コード表!E$12)</f>
        <v>444349</v>
      </c>
      <c r="F150" s="38">
        <f ca="1">INDIRECT("'"&amp;コード表!$C$3&amp;"'!"&amp;コード表!$D84&amp;コード表!F$12)</f>
        <v>448144</v>
      </c>
      <c r="G150" s="38">
        <f ca="1">INDIRECT("'"&amp;コード表!$C$3&amp;"'!"&amp;コード表!$D84&amp;コード表!G$12)</f>
        <v>480319</v>
      </c>
      <c r="H150" s="38">
        <f ca="1">INDIRECT("'"&amp;コード表!$C$3&amp;"'!"&amp;コード表!$D84&amp;コード表!H$12)</f>
        <v>497009</v>
      </c>
      <c r="I150" s="38">
        <f ca="1">INDIRECT("'"&amp;コード表!$C$3&amp;"'!"&amp;コード表!$D84&amp;コード表!I$12)</f>
        <v>497526</v>
      </c>
      <c r="J150" s="38">
        <f ca="1">INDIRECT("'"&amp;コード表!$C$3&amp;"'!"&amp;コード表!$D84&amp;コード表!J$12)</f>
        <v>511158</v>
      </c>
      <c r="K150" s="38">
        <f ca="1">INDIRECT("'"&amp;コード表!$C$3&amp;"'!"&amp;コード表!$D84&amp;コード表!K$12)</f>
        <v>528238</v>
      </c>
      <c r="L150" s="38">
        <f ca="1">INDIRECT("'"&amp;コード表!$C$3&amp;"'!"&amp;コード表!$D84&amp;コード表!L$12)</f>
        <v>531428</v>
      </c>
      <c r="M150" s="38">
        <f ca="1">INDIRECT("'"&amp;コード表!$C$3&amp;"'!"&amp;コード表!$D84&amp;コード表!M$12)</f>
        <v>549161</v>
      </c>
      <c r="N150" s="38">
        <f ca="1">INDIRECT("'"&amp;コード表!$C$3&amp;"'!"&amp;コード表!$D84&amp;コード表!N$12)</f>
        <v>561255</v>
      </c>
    </row>
    <row r="151" spans="1:14" ht="16.5" customHeight="1">
      <c r="A151" s="18">
        <v>18</v>
      </c>
      <c r="B151" s="111" t="s">
        <v>68</v>
      </c>
      <c r="C151" s="37">
        <f ca="1">INDIRECT("'"&amp;コード表!$C$3&amp;"'!"&amp;コード表!$D85&amp;コード表!C$12)</f>
        <v>216284</v>
      </c>
      <c r="D151" s="39">
        <f ca="1">INDIRECT("'"&amp;コード表!$C$3&amp;"'!"&amp;コード表!$D85&amp;コード表!D$12)</f>
        <v>223120</v>
      </c>
      <c r="E151" s="39">
        <f ca="1">INDIRECT("'"&amp;コード表!$C$3&amp;"'!"&amp;コード表!$D85&amp;コード表!E$12)</f>
        <v>218596</v>
      </c>
      <c r="F151" s="39">
        <f ca="1">INDIRECT("'"&amp;コード表!$C$3&amp;"'!"&amp;コード表!$D85&amp;コード表!F$12)</f>
        <v>216366</v>
      </c>
      <c r="G151" s="39">
        <f ca="1">INDIRECT("'"&amp;コード表!$C$3&amp;"'!"&amp;コード表!$D85&amp;コード表!G$12)</f>
        <v>223319</v>
      </c>
      <c r="H151" s="39">
        <f ca="1">INDIRECT("'"&amp;コード表!$C$3&amp;"'!"&amp;コード表!$D85&amp;コード表!H$12)</f>
        <v>225594</v>
      </c>
      <c r="I151" s="39">
        <f ca="1">INDIRECT("'"&amp;コード表!$C$3&amp;"'!"&amp;コード表!$D85&amp;コード表!I$12)</f>
        <v>229823</v>
      </c>
      <c r="J151" s="39">
        <f ca="1">INDIRECT("'"&amp;コード表!$C$3&amp;"'!"&amp;コード表!$D85&amp;コード表!J$12)</f>
        <v>228959</v>
      </c>
      <c r="K151" s="39">
        <f ca="1">INDIRECT("'"&amp;コード表!$C$3&amp;"'!"&amp;コード表!$D85&amp;コード表!K$12)</f>
        <v>225206</v>
      </c>
      <c r="L151" s="39">
        <f ca="1">INDIRECT("'"&amp;コード表!$C$3&amp;"'!"&amp;コード表!$D85&amp;コード表!L$12)</f>
        <v>206363</v>
      </c>
      <c r="M151" s="39">
        <f ca="1">INDIRECT("'"&amp;コード表!$C$3&amp;"'!"&amp;コード表!$D85&amp;コード表!M$12)</f>
        <v>225757</v>
      </c>
      <c r="N151" s="39">
        <f ca="1">INDIRECT("'"&amp;コード表!$C$3&amp;"'!"&amp;コード表!$D85&amp;コード表!N$12)</f>
        <v>241123</v>
      </c>
    </row>
    <row r="152" spans="1:14" ht="16.5" customHeight="1">
      <c r="A152" s="33">
        <v>19</v>
      </c>
      <c r="B152" s="110" t="s">
        <v>70</v>
      </c>
      <c r="C152" s="40">
        <f ca="1">INDIRECT("'"&amp;コード表!$C$3&amp;"'!"&amp;コード表!$D86&amp;コード表!C$12)</f>
        <v>3739606</v>
      </c>
      <c r="D152" s="35">
        <f ca="1">INDIRECT("'"&amp;コード表!$C$3&amp;"'!"&amp;コード表!$D86&amp;コード表!D$12)</f>
        <v>3758113</v>
      </c>
      <c r="E152" s="35">
        <f ca="1">INDIRECT("'"&amp;コード表!$C$3&amp;"'!"&amp;コード表!$D86&amp;コード表!E$12)</f>
        <v>3891505</v>
      </c>
      <c r="F152" s="35">
        <f ca="1">INDIRECT("'"&amp;コード表!$C$3&amp;"'!"&amp;コード表!$D86&amp;コード表!F$12)</f>
        <v>3964753</v>
      </c>
      <c r="G152" s="35">
        <f ca="1">INDIRECT("'"&amp;コード表!$C$3&amp;"'!"&amp;コード表!$D86&amp;コード表!G$12)</f>
        <v>4176517</v>
      </c>
      <c r="H152" s="35">
        <f ca="1">INDIRECT("'"&amp;コード表!$C$3&amp;"'!"&amp;コード表!$D86&amp;コード表!H$12)</f>
        <v>4330002</v>
      </c>
      <c r="I152" s="35">
        <f ca="1">INDIRECT("'"&amp;コード表!$C$3&amp;"'!"&amp;コード表!$D86&amp;コード表!I$12)</f>
        <v>4420701</v>
      </c>
      <c r="J152" s="35">
        <f ca="1">INDIRECT("'"&amp;コード表!$C$3&amp;"'!"&amp;コード表!$D86&amp;コード表!J$12)</f>
        <v>4475777</v>
      </c>
      <c r="K152" s="35">
        <f ca="1">INDIRECT("'"&amp;コード表!$C$3&amp;"'!"&amp;コード表!$D86&amp;コード表!K$12)</f>
        <v>4508537</v>
      </c>
      <c r="L152" s="35">
        <f ca="1">INDIRECT("'"&amp;コード表!$C$3&amp;"'!"&amp;コード表!$D86&amp;コード表!L$12)</f>
        <v>4230116</v>
      </c>
      <c r="M152" s="35">
        <f ca="1">INDIRECT("'"&amp;コード表!$C$3&amp;"'!"&amp;コード表!$D86&amp;コード表!M$12)</f>
        <v>4404646</v>
      </c>
      <c r="N152" s="35">
        <f ca="1">INDIRECT("'"&amp;コード表!$C$3&amp;"'!"&amp;コード表!$D86&amp;コード表!N$12)</f>
        <v>4492276</v>
      </c>
    </row>
    <row r="153" spans="1:14" ht="16.5" customHeight="1" thickBot="1">
      <c r="A153" s="71">
        <v>20</v>
      </c>
      <c r="B153" s="113" t="s">
        <v>100</v>
      </c>
      <c r="C153" s="114">
        <f ca="1">INDIRECT("'"&amp;コード表!$C$3&amp;"'!"&amp;コード表!$D87&amp;コード表!C$12)</f>
        <v>4023</v>
      </c>
      <c r="D153" s="115">
        <f ca="1">INDIRECT("'"&amp;コード表!$C$3&amp;"'!"&amp;コード表!$D87&amp;コード表!D$12)</f>
        <v>3809</v>
      </c>
      <c r="E153" s="115">
        <f ca="1">INDIRECT("'"&amp;コード表!$C$3&amp;"'!"&amp;コード表!$D87&amp;コード表!E$12)</f>
        <v>2084</v>
      </c>
      <c r="F153" s="115">
        <f ca="1">INDIRECT("'"&amp;コード表!$C$3&amp;"'!"&amp;コード表!$D87&amp;コード表!F$12)</f>
        <v>-3031</v>
      </c>
      <c r="G153" s="115">
        <f ca="1">INDIRECT("'"&amp;コード表!$C$3&amp;"'!"&amp;コード表!$D87&amp;コード表!G$12)</f>
        <v>-16444</v>
      </c>
      <c r="H153" s="115">
        <f ca="1">INDIRECT("'"&amp;コード表!$C$3&amp;"'!"&amp;コード表!$D87&amp;コード表!H$12)</f>
        <v>-22881</v>
      </c>
      <c r="I153" s="115">
        <f ca="1">INDIRECT("'"&amp;コード表!$C$3&amp;"'!"&amp;コード表!$D87&amp;コード表!I$12)</f>
        <v>-24487</v>
      </c>
      <c r="J153" s="115">
        <f ca="1">INDIRECT("'"&amp;コード表!$C$3&amp;"'!"&amp;コード表!$D87&amp;コード表!J$12)</f>
        <v>-26183</v>
      </c>
      <c r="K153" s="115">
        <f ca="1">INDIRECT("'"&amp;コード表!$C$3&amp;"'!"&amp;コード表!$D87&amp;コード表!K$12)</f>
        <v>-33134</v>
      </c>
      <c r="L153" s="115">
        <f ca="1">INDIRECT("'"&amp;コード表!$C$3&amp;"'!"&amp;コード表!$D87&amp;コード表!L$12)</f>
        <v>-29095</v>
      </c>
      <c r="M153" s="115">
        <f ca="1">INDIRECT("'"&amp;コード表!$C$3&amp;"'!"&amp;コード表!$D87&amp;コード表!M$12)</f>
        <v>-34474</v>
      </c>
      <c r="N153" s="115">
        <f ca="1">INDIRECT("'"&amp;コード表!$C$3&amp;"'!"&amp;コード表!$D87&amp;コード表!N$12)</f>
        <v>-30746</v>
      </c>
    </row>
    <row r="154" spans="1:14" ht="16.5" customHeight="1" thickTop="1">
      <c r="A154" s="18">
        <v>21</v>
      </c>
      <c r="B154" s="111" t="s">
        <v>119</v>
      </c>
      <c r="C154" s="37">
        <f ca="1">INDIRECT("'"&amp;コード表!$C$3&amp;"'!"&amp;コード表!$D88&amp;コード表!C$12)</f>
        <v>3743629</v>
      </c>
      <c r="D154" s="39">
        <f ca="1">INDIRECT("'"&amp;コード表!$C$3&amp;"'!"&amp;コード表!$D88&amp;コード表!D$12)</f>
        <v>3761922</v>
      </c>
      <c r="E154" s="39">
        <f ca="1">INDIRECT("'"&amp;コード表!$C$3&amp;"'!"&amp;コード表!$D88&amp;コード表!E$12)</f>
        <v>3893589</v>
      </c>
      <c r="F154" s="39">
        <f ca="1">INDIRECT("'"&amp;コード表!$C$3&amp;"'!"&amp;コード表!$D88&amp;コード表!F$12)</f>
        <v>3961722</v>
      </c>
      <c r="G154" s="39">
        <f ca="1">INDIRECT("'"&amp;コード表!$C$3&amp;"'!"&amp;コード表!$D88&amp;コード表!G$12)</f>
        <v>4160073</v>
      </c>
      <c r="H154" s="39">
        <f ca="1">INDIRECT("'"&amp;コード表!$C$3&amp;"'!"&amp;コード表!$D88&amp;コード表!H$12)</f>
        <v>4307121</v>
      </c>
      <c r="I154" s="39">
        <f ca="1">INDIRECT("'"&amp;コード表!$C$3&amp;"'!"&amp;コード表!$D88&amp;コード表!I$12)</f>
        <v>4396214</v>
      </c>
      <c r="J154" s="39">
        <f ca="1">INDIRECT("'"&amp;コード表!$C$3&amp;"'!"&amp;コード表!$D88&amp;コード表!J$12)</f>
        <v>4449594</v>
      </c>
      <c r="K154" s="39">
        <f ca="1">INDIRECT("'"&amp;コード表!$C$3&amp;"'!"&amp;コード表!$D88&amp;コード表!K$12)</f>
        <v>4475403</v>
      </c>
      <c r="L154" s="39">
        <f ca="1">INDIRECT("'"&amp;コード表!$C$3&amp;"'!"&amp;コード表!$D88&amp;コード表!L$12)</f>
        <v>4201021</v>
      </c>
      <c r="M154" s="39">
        <f ca="1">INDIRECT("'"&amp;コード表!$C$3&amp;"'!"&amp;コード表!$D88&amp;コード表!M$12)</f>
        <v>4370172</v>
      </c>
      <c r="N154" s="39">
        <f ca="1">INDIRECT("'"&amp;コード表!$C$3&amp;"'!"&amp;コード表!$D88&amp;コード表!N$12)</f>
        <v>4461530</v>
      </c>
    </row>
    <row r="155" spans="1:14" ht="16.5" customHeight="1">
      <c r="A155" s="127" t="s">
        <v>146</v>
      </c>
      <c r="B155" s="128" t="s">
        <v>72</v>
      </c>
      <c r="C155" s="36">
        <f ca="1">INDIRECT("'"&amp;コード表!$C$3&amp;"'!"&amp;コード表!$D89&amp;コード表!C$12)</f>
        <v>52690</v>
      </c>
      <c r="D155" s="38">
        <f ca="1">INDIRECT("'"&amp;コード表!$C$3&amp;"'!"&amp;コード表!$D89&amp;コード表!D$12)</f>
        <v>58889</v>
      </c>
      <c r="E155" s="38">
        <f ca="1">INDIRECT("'"&amp;コード表!$C$3&amp;"'!"&amp;コード表!$D89&amp;コード表!E$12)</f>
        <v>55480</v>
      </c>
      <c r="F155" s="38">
        <f ca="1">INDIRECT("'"&amp;コード表!$C$3&amp;"'!"&amp;コード表!$D89&amp;コード表!F$12)</f>
        <v>59949</v>
      </c>
      <c r="G155" s="38">
        <f ca="1">INDIRECT("'"&amp;コード表!$C$3&amp;"'!"&amp;コード表!$D89&amp;コード表!G$12)</f>
        <v>59639</v>
      </c>
      <c r="H155" s="38">
        <f ca="1">INDIRECT("'"&amp;コード表!$C$3&amp;"'!"&amp;コード表!$D89&amp;コード表!H$12)</f>
        <v>77682</v>
      </c>
      <c r="I155" s="38">
        <f ca="1">INDIRECT("'"&amp;コード表!$C$3&amp;"'!"&amp;コード表!$D89&amp;コード表!I$12)</f>
        <v>65068</v>
      </c>
      <c r="J155" s="38">
        <f ca="1">INDIRECT("'"&amp;コード表!$C$3&amp;"'!"&amp;コード表!$D89&amp;コード表!J$12)</f>
        <v>60673</v>
      </c>
      <c r="K155" s="38">
        <f ca="1">INDIRECT("'"&amp;コード表!$C$3&amp;"'!"&amp;コード表!$D89&amp;コード表!K$12)</f>
        <v>57847</v>
      </c>
      <c r="L155" s="38">
        <f ca="1">INDIRECT("'"&amp;コード表!$C$3&amp;"'!"&amp;コード表!$D89&amp;コード表!L$12)</f>
        <v>46656</v>
      </c>
      <c r="M155" s="38">
        <f ca="1">INDIRECT("'"&amp;コード表!$C$3&amp;"'!"&amp;コード表!$D89&amp;コード表!M$12)</f>
        <v>53690</v>
      </c>
      <c r="N155" s="38">
        <f ca="1">INDIRECT("'"&amp;コード表!$C$3&amp;"'!"&amp;コード表!$D89&amp;コード表!N$12)</f>
        <v>44129</v>
      </c>
    </row>
    <row r="156" spans="1:14" ht="16.5" customHeight="1">
      <c r="A156" s="130" t="s">
        <v>147</v>
      </c>
      <c r="B156" s="111" t="s">
        <v>73</v>
      </c>
      <c r="C156" s="36">
        <f ca="1">INDIRECT("'"&amp;コード表!$C$3&amp;"'!"&amp;コード表!$D90&amp;コード表!C$12)</f>
        <v>462576</v>
      </c>
      <c r="D156" s="38">
        <f ca="1">INDIRECT("'"&amp;コード表!$C$3&amp;"'!"&amp;コード表!$D90&amp;コード表!D$12)</f>
        <v>416742</v>
      </c>
      <c r="E156" s="38">
        <f ca="1">INDIRECT("'"&amp;コード表!$C$3&amp;"'!"&amp;コード表!$D90&amp;コード表!E$12)</f>
        <v>478762</v>
      </c>
      <c r="F156" s="38">
        <f ca="1">INDIRECT("'"&amp;コード表!$C$3&amp;"'!"&amp;コード表!$D90&amp;コード表!F$12)</f>
        <v>502796</v>
      </c>
      <c r="G156" s="38">
        <f ca="1">INDIRECT("'"&amp;コード表!$C$3&amp;"'!"&amp;コード表!$D90&amp;コード表!G$12)</f>
        <v>577773</v>
      </c>
      <c r="H156" s="38">
        <f ca="1">INDIRECT("'"&amp;コード表!$C$3&amp;"'!"&amp;コード表!$D90&amp;コード表!H$12)</f>
        <v>608752</v>
      </c>
      <c r="I156" s="38">
        <f ca="1">INDIRECT("'"&amp;コード表!$C$3&amp;"'!"&amp;コード表!$D90&amp;コード表!I$12)</f>
        <v>646244</v>
      </c>
      <c r="J156" s="38">
        <f ca="1">INDIRECT("'"&amp;コード表!$C$3&amp;"'!"&amp;コード表!$D90&amp;コード表!J$12)</f>
        <v>656110</v>
      </c>
      <c r="K156" s="38">
        <f ca="1">INDIRECT("'"&amp;コード表!$C$3&amp;"'!"&amp;コード表!$D90&amp;コード表!K$12)</f>
        <v>671098</v>
      </c>
      <c r="L156" s="38">
        <f ca="1">INDIRECT("'"&amp;コード表!$C$3&amp;"'!"&amp;コード表!$D90&amp;コード表!L$12)</f>
        <v>603250</v>
      </c>
      <c r="M156" s="38">
        <f ca="1">INDIRECT("'"&amp;コード表!$C$3&amp;"'!"&amp;コード表!$D90&amp;コード表!M$12)</f>
        <v>666683</v>
      </c>
      <c r="N156" s="38">
        <f ca="1">INDIRECT("'"&amp;コード表!$C$3&amp;"'!"&amp;コード表!$D90&amp;コード表!N$12)</f>
        <v>589528</v>
      </c>
    </row>
    <row r="157" spans="1:14" ht="16.5" customHeight="1">
      <c r="A157" s="131" t="s">
        <v>148</v>
      </c>
      <c r="B157" s="112" t="s">
        <v>74</v>
      </c>
      <c r="C157" s="37">
        <f ca="1">INDIRECT("'"&amp;コード表!$C$3&amp;"'!"&amp;コード表!$D91&amp;コード表!C$12)</f>
        <v>3224340</v>
      </c>
      <c r="D157" s="39">
        <f ca="1">INDIRECT("'"&amp;コード表!$C$3&amp;"'!"&amp;コード表!$D91&amp;コード表!D$12)</f>
        <v>3282482</v>
      </c>
      <c r="E157" s="39">
        <f ca="1">INDIRECT("'"&amp;コード表!$C$3&amp;"'!"&amp;コード表!$D91&amp;コード表!E$12)</f>
        <v>3357263</v>
      </c>
      <c r="F157" s="39">
        <f ca="1">INDIRECT("'"&amp;コード表!$C$3&amp;"'!"&amp;コード表!$D91&amp;コード表!F$12)</f>
        <v>3402008</v>
      </c>
      <c r="G157" s="39">
        <f ca="1">INDIRECT("'"&amp;コード表!$C$3&amp;"'!"&amp;コード表!$D91&amp;コード表!G$12)</f>
        <v>3539105</v>
      </c>
      <c r="H157" s="39">
        <f ca="1">INDIRECT("'"&amp;コード表!$C$3&amp;"'!"&amp;コード表!$D91&amp;コード表!H$12)</f>
        <v>3643568</v>
      </c>
      <c r="I157" s="39">
        <f ca="1">INDIRECT("'"&amp;コード表!$C$3&amp;"'!"&amp;コード表!$D91&amp;コード表!I$12)</f>
        <v>3709389</v>
      </c>
      <c r="J157" s="39">
        <f ca="1">INDIRECT("'"&amp;コード表!$C$3&amp;"'!"&amp;コード表!$D91&amp;コード表!J$12)</f>
        <v>3758994</v>
      </c>
      <c r="K157" s="39">
        <f ca="1">INDIRECT("'"&amp;コード表!$C$3&amp;"'!"&amp;コード表!$D91&amp;コード表!K$12)</f>
        <v>3779592</v>
      </c>
      <c r="L157" s="39">
        <f ca="1">INDIRECT("'"&amp;コード表!$C$3&amp;"'!"&amp;コード表!$D91&amp;コード表!L$12)</f>
        <v>3580210</v>
      </c>
      <c r="M157" s="39">
        <f ca="1">INDIRECT("'"&amp;コード表!$C$3&amp;"'!"&amp;コード表!$D91&amp;コード表!M$12)</f>
        <v>3684273</v>
      </c>
      <c r="N157" s="39">
        <f ca="1">INDIRECT("'"&amp;コード表!$C$3&amp;"'!"&amp;コード表!$D91&amp;コード表!N$12)</f>
        <v>3858619</v>
      </c>
    </row>
    <row r="158" spans="1:14" ht="16.5" customHeight="1">
      <c r="A158" s="127"/>
      <c r="B158" s="299" t="s">
        <v>279</v>
      </c>
      <c r="C158" s="49">
        <f ca="1">INDIRECT("'"&amp;コード表!$C$3&amp;"'!"&amp;コード表!$D92&amp;コード表!C$12)</f>
        <v>5878</v>
      </c>
      <c r="D158" s="49">
        <f ca="1">INDIRECT("'"&amp;コード表!$C$3&amp;"'!"&amp;コード表!$D92&amp;コード表!D$12)</f>
        <v>5785</v>
      </c>
      <c r="E158" s="49">
        <f ca="1">INDIRECT("'"&amp;コード表!$C$3&amp;"'!"&amp;コード表!$D92&amp;コード表!E$12)</f>
        <v>5923</v>
      </c>
      <c r="F158" s="49">
        <f ca="1">INDIRECT("'"&amp;コード表!$C$3&amp;"'!"&amp;コード表!$D92&amp;コード表!F$12)</f>
        <v>5899</v>
      </c>
      <c r="G158" s="49">
        <f ca="1">INDIRECT("'"&amp;コード表!$C$3&amp;"'!"&amp;コード表!$D92&amp;コード表!G$12)</f>
        <v>6094</v>
      </c>
      <c r="H158" s="49">
        <f ca="1">INDIRECT("'"&amp;コード表!$C$3&amp;"'!"&amp;コード表!$D92&amp;コード表!H$12)</f>
        <v>6128</v>
      </c>
      <c r="I158" s="49">
        <f ca="1">INDIRECT("'"&amp;コード表!$C$3&amp;"'!"&amp;コード表!$D92&amp;コード表!I$12)</f>
        <v>6180</v>
      </c>
      <c r="J158" s="49">
        <f ca="1">INDIRECT("'"&amp;コード表!$C$3&amp;"'!"&amp;コード表!$D92&amp;コード表!J$12)</f>
        <v>6177</v>
      </c>
      <c r="K158" s="49">
        <f ca="1">INDIRECT("'"&amp;コード表!$C$3&amp;"'!"&amp;コード表!$D92&amp;コード表!K$12)</f>
        <v>6047</v>
      </c>
      <c r="L158" s="49">
        <f ca="1">INDIRECT("'"&amp;コード表!$C$3&amp;"'!"&amp;コード表!$D92&amp;コード表!L$12)</f>
        <v>5733</v>
      </c>
      <c r="M158" s="49">
        <f ca="1">INDIRECT("'"&amp;コード表!$C$3&amp;"'!"&amp;コード表!$D92&amp;コード表!M$12)</f>
        <v>5913</v>
      </c>
      <c r="N158" s="300">
        <f ca="1">INDIRECT("'"&amp;コード表!$C$3&amp;"'!"&amp;コード表!$D92&amp;コード表!N$12)</f>
        <v>6088</v>
      </c>
    </row>
    <row r="159" spans="1:14" ht="16.5" customHeight="1">
      <c r="A159" s="131"/>
      <c r="B159" s="301" t="s">
        <v>280</v>
      </c>
      <c r="C159" s="39">
        <f ca="1">INDIRECT("'"&amp;コード表!$C$3&amp;"'!"&amp;コード表!$D93&amp;コード表!C$12)</f>
        <v>3846280</v>
      </c>
      <c r="D159" s="39">
        <f ca="1">INDIRECT("'"&amp;コード表!$C$3&amp;"'!"&amp;コード表!$D93&amp;コード表!D$12)</f>
        <v>3878319</v>
      </c>
      <c r="E159" s="39">
        <f ca="1">INDIRECT("'"&amp;コード表!$C$3&amp;"'!"&amp;コード表!$D93&amp;コード表!E$12)</f>
        <v>4038793</v>
      </c>
      <c r="F159" s="39">
        <f ca="1">INDIRECT("'"&amp;コード表!$C$3&amp;"'!"&amp;コード表!$D93&amp;コード表!F$12)</f>
        <v>4014011</v>
      </c>
      <c r="G159" s="39">
        <f ca="1">INDIRECT("'"&amp;コード表!$C$3&amp;"'!"&amp;コード表!$D93&amp;コード表!G$12)</f>
        <v>4166880</v>
      </c>
      <c r="H159" s="39">
        <f ca="1">INDIRECT("'"&amp;コード表!$C$3&amp;"'!"&amp;コード表!$D93&amp;コード表!H$12)</f>
        <v>4268329</v>
      </c>
      <c r="I159" s="39">
        <f ca="1">INDIRECT("'"&amp;コード表!$C$3&amp;"'!"&amp;コード表!$D93&amp;コード表!I$12)</f>
        <v>4349212</v>
      </c>
      <c r="J159" s="39">
        <f ca="1">INDIRECT("'"&amp;コード表!$C$3&amp;"'!"&amp;コード表!$D93&amp;コード表!J$12)</f>
        <v>4382412</v>
      </c>
      <c r="K159" s="39">
        <f ca="1">INDIRECT("'"&amp;コード表!$C$3&amp;"'!"&amp;コード表!$D93&amp;コード表!K$12)</f>
        <v>4372075</v>
      </c>
      <c r="L159" s="39">
        <f ca="1">INDIRECT("'"&amp;コード表!$C$3&amp;"'!"&amp;コード表!$D93&amp;コード表!L$12)</f>
        <v>4080020</v>
      </c>
      <c r="M159" s="39">
        <f ca="1">INDIRECT("'"&amp;コード表!$C$3&amp;"'!"&amp;コード表!$D93&amp;コード表!M$12)</f>
        <v>4230962</v>
      </c>
      <c r="N159" s="302">
        <f ca="1">INDIRECT("'"&amp;コード表!$C$3&amp;"'!"&amp;コード表!$D93&amp;コード表!N$12)</f>
        <v>4347059</v>
      </c>
    </row>
    <row r="160" spans="1:14" ht="16.5" customHeight="1">
      <c r="A160" s="243"/>
      <c r="B160" s="244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</row>
    <row r="161" spans="1:29" ht="16.5" customHeight="1">
      <c r="A161" s="256" t="s">
        <v>266</v>
      </c>
      <c r="B161" s="244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</row>
    <row r="162" spans="1:29" ht="16.5" customHeight="1">
      <c r="A162" s="127"/>
      <c r="B162" s="128"/>
      <c r="C162" s="27">
        <f>C$4</f>
        <v>23</v>
      </c>
      <c r="D162" s="27">
        <f t="shared" ref="D162:N162" si="101">D$4</f>
        <v>24</v>
      </c>
      <c r="E162" s="27">
        <f t="shared" si="101"/>
        <v>25</v>
      </c>
      <c r="F162" s="27">
        <f t="shared" si="101"/>
        <v>26</v>
      </c>
      <c r="G162" s="27">
        <f t="shared" si="101"/>
        <v>27</v>
      </c>
      <c r="H162" s="27">
        <f t="shared" si="101"/>
        <v>28</v>
      </c>
      <c r="I162" s="27">
        <f t="shared" si="101"/>
        <v>29</v>
      </c>
      <c r="J162" s="27">
        <f t="shared" si="101"/>
        <v>30</v>
      </c>
      <c r="K162" s="27">
        <f t="shared" si="101"/>
        <v>1</v>
      </c>
      <c r="L162" s="27">
        <f t="shared" si="101"/>
        <v>2</v>
      </c>
      <c r="M162" s="27">
        <f t="shared" si="101"/>
        <v>3</v>
      </c>
      <c r="N162" s="27">
        <f t="shared" si="101"/>
        <v>4</v>
      </c>
    </row>
    <row r="163" spans="1:29" ht="16.5" customHeight="1">
      <c r="A163" s="247"/>
      <c r="B163" s="112"/>
      <c r="C163" s="28">
        <f>C$5</f>
        <v>2011</v>
      </c>
      <c r="D163" s="28">
        <f t="shared" ref="D163:N163" si="102">D$5</f>
        <v>2012</v>
      </c>
      <c r="E163" s="28">
        <f t="shared" si="102"/>
        <v>2013</v>
      </c>
      <c r="F163" s="28">
        <f t="shared" si="102"/>
        <v>2014</v>
      </c>
      <c r="G163" s="28">
        <f t="shared" si="102"/>
        <v>2015</v>
      </c>
      <c r="H163" s="28">
        <f t="shared" si="102"/>
        <v>2016</v>
      </c>
      <c r="I163" s="28">
        <f t="shared" si="102"/>
        <v>2017</v>
      </c>
      <c r="J163" s="28">
        <f t="shared" si="102"/>
        <v>2018</v>
      </c>
      <c r="K163" s="28">
        <f t="shared" si="102"/>
        <v>2019</v>
      </c>
      <c r="L163" s="28">
        <f t="shared" si="102"/>
        <v>2020</v>
      </c>
      <c r="M163" s="28">
        <f t="shared" si="102"/>
        <v>2021</v>
      </c>
      <c r="N163" s="28">
        <f t="shared" si="102"/>
        <v>2022</v>
      </c>
    </row>
    <row r="164" spans="1:29" ht="16.5" customHeight="1" thickBot="1">
      <c r="A164" s="248"/>
      <c r="B164" s="249" t="s">
        <v>261</v>
      </c>
      <c r="C164" s="251">
        <v>2</v>
      </c>
      <c r="D164" s="250">
        <f>C164+1</f>
        <v>3</v>
      </c>
      <c r="E164" s="250">
        <f t="shared" ref="E164:K164" si="103">D164+1</f>
        <v>4</v>
      </c>
      <c r="F164" s="250">
        <f t="shared" si="103"/>
        <v>5</v>
      </c>
      <c r="G164" s="250">
        <f t="shared" si="103"/>
        <v>6</v>
      </c>
      <c r="H164" s="250">
        <f t="shared" si="103"/>
        <v>7</v>
      </c>
      <c r="I164" s="250">
        <f t="shared" si="103"/>
        <v>8</v>
      </c>
      <c r="J164" s="250">
        <f t="shared" si="103"/>
        <v>9</v>
      </c>
      <c r="K164" s="250">
        <f t="shared" si="103"/>
        <v>10</v>
      </c>
      <c r="L164" s="250">
        <f t="shared" ref="L164" si="104">K164+1</f>
        <v>11</v>
      </c>
      <c r="M164" s="250">
        <f t="shared" ref="M164" si="105">L164+1</f>
        <v>12</v>
      </c>
      <c r="N164" s="250">
        <f t="shared" ref="N164" si="106">M164+1</f>
        <v>13</v>
      </c>
    </row>
    <row r="165" spans="1:29" ht="16.5" customHeight="1" thickTop="1">
      <c r="A165" s="246"/>
      <c r="B165" s="111" t="s">
        <v>260</v>
      </c>
      <c r="C165" s="37">
        <f ca="1">INDIRECT("'"&amp;コード表!$C$3&amp;"'!"&amp;コード表!$D88&amp;コード表!C$12)</f>
        <v>3743629</v>
      </c>
      <c r="D165" s="39">
        <f ca="1">INDIRECT("'"&amp;コード表!$C$3&amp;"'!"&amp;コード表!$D88&amp;コード表!D$12)</f>
        <v>3761922</v>
      </c>
      <c r="E165" s="39">
        <f ca="1">INDIRECT("'"&amp;コード表!$C$3&amp;"'!"&amp;コード表!$D88&amp;コード表!E$12)</f>
        <v>3893589</v>
      </c>
      <c r="F165" s="39">
        <f ca="1">INDIRECT("'"&amp;コード表!$C$3&amp;"'!"&amp;コード表!$D88&amp;コード表!F$12)</f>
        <v>3961722</v>
      </c>
      <c r="G165" s="39">
        <f ca="1">INDIRECT("'"&amp;コード表!$C$3&amp;"'!"&amp;コード表!$D88&amp;コード表!G$12)</f>
        <v>4160073</v>
      </c>
      <c r="H165" s="39">
        <f ca="1">INDIRECT("'"&amp;コード表!$C$3&amp;"'!"&amp;コード表!$D88&amp;コード表!H$12)</f>
        <v>4307121</v>
      </c>
      <c r="I165" s="39">
        <f ca="1">INDIRECT("'"&amp;コード表!$C$3&amp;"'!"&amp;コード表!$D88&amp;コード表!I$12)</f>
        <v>4396214</v>
      </c>
      <c r="J165" s="39">
        <f ca="1">INDIRECT("'"&amp;コード表!$C$3&amp;"'!"&amp;コード表!$D88&amp;コード表!J$12)</f>
        <v>4449594</v>
      </c>
      <c r="K165" s="39">
        <f ca="1">INDIRECT("'"&amp;コード表!$C$3&amp;"'!"&amp;コード表!$D88&amp;コード表!K$12)</f>
        <v>4475403</v>
      </c>
      <c r="L165" s="39">
        <f ca="1">INDIRECT("'"&amp;コード表!$C$3&amp;"'!"&amp;コード表!$D88&amp;コード表!L$12)</f>
        <v>4201021</v>
      </c>
      <c r="M165" s="39">
        <f ca="1">INDIRECT("'"&amp;コード表!$C$3&amp;"'!"&amp;コード表!$D88&amp;コード表!M$12)</f>
        <v>4370172</v>
      </c>
      <c r="N165" s="39">
        <f ca="1">INDIRECT("'"&amp;コード表!$C$3&amp;"'!"&amp;コード表!$D88&amp;コード表!N$12)</f>
        <v>4461530</v>
      </c>
      <c r="O165" s="3"/>
    </row>
    <row r="166" spans="1:29" ht="16.5" customHeight="1">
      <c r="A166" s="245" t="s">
        <v>259</v>
      </c>
      <c r="B166" s="128" t="s">
        <v>139</v>
      </c>
      <c r="C166" s="129">
        <f ca="1">INDIRECT("'"&amp;コード表!$C$3&amp;"'!"&amp;コード表!$D88&amp;コード表!C$54)</f>
        <v>346778</v>
      </c>
      <c r="D166" s="49">
        <f ca="1">INDIRECT("'"&amp;コード表!$C$3&amp;"'!"&amp;コード表!$D88&amp;コード表!D$54)</f>
        <v>347321</v>
      </c>
      <c r="E166" s="49">
        <f ca="1">INDIRECT("'"&amp;コード表!$C$3&amp;"'!"&amp;コード表!$D88&amp;コード表!E$54)</f>
        <v>363906</v>
      </c>
      <c r="F166" s="49">
        <f ca="1">INDIRECT("'"&amp;コード表!$C$3&amp;"'!"&amp;コード表!$D88&amp;コード表!F$54)</f>
        <v>368522</v>
      </c>
      <c r="G166" s="49">
        <f ca="1">INDIRECT("'"&amp;コード表!$C$3&amp;"'!"&amp;コード表!$D88&amp;コード表!G$54)</f>
        <v>382709</v>
      </c>
      <c r="H166" s="49">
        <f ca="1">INDIRECT("'"&amp;コード表!$C$3&amp;"'!"&amp;コード表!$D88&amp;コード表!H$54)</f>
        <v>390363</v>
      </c>
      <c r="I166" s="49">
        <f ca="1">INDIRECT("'"&amp;コード表!$C$3&amp;"'!"&amp;コード表!$D88&amp;コード表!I$54)</f>
        <v>411695</v>
      </c>
      <c r="J166" s="49">
        <f ca="1">INDIRECT("'"&amp;コード表!$C$3&amp;"'!"&amp;コード表!$D88&amp;コード表!J$54)</f>
        <v>416709</v>
      </c>
      <c r="K166" s="49">
        <f ca="1">INDIRECT("'"&amp;コード表!$C$3&amp;"'!"&amp;コード表!$D88&amp;コード表!K$54)</f>
        <v>425926</v>
      </c>
      <c r="L166" s="49">
        <f ca="1">INDIRECT("'"&amp;コード表!$C$3&amp;"'!"&amp;コード表!$D88&amp;コード表!L$54)</f>
        <v>387549</v>
      </c>
      <c r="M166" s="49">
        <f ca="1">INDIRECT("'"&amp;コード表!$C$3&amp;"'!"&amp;コード表!$D88&amp;コード表!M$54)</f>
        <v>400382</v>
      </c>
      <c r="N166" s="49">
        <f ca="1">INDIRECT("'"&amp;コード表!$C$3&amp;"'!"&amp;コード表!$D88&amp;コード表!N$54)</f>
        <v>412681</v>
      </c>
      <c r="O166" s="118"/>
    </row>
    <row r="167" spans="1:29" ht="16.5" customHeight="1">
      <c r="A167" s="246" t="s">
        <v>147</v>
      </c>
      <c r="B167" s="111" t="s">
        <v>140</v>
      </c>
      <c r="C167" s="36">
        <f ca="1">INDIRECT("'"&amp;コード表!$C$3&amp;"'!"&amp;コード表!$D88&amp;コード表!C$55)</f>
        <v>1358369</v>
      </c>
      <c r="D167" s="38">
        <f ca="1">INDIRECT("'"&amp;コード表!$C$3&amp;"'!"&amp;コード表!$D88&amp;コード表!D$55)</f>
        <v>1379258</v>
      </c>
      <c r="E167" s="38">
        <f ca="1">INDIRECT("'"&amp;コード表!$C$3&amp;"'!"&amp;コード表!$D88&amp;コード表!E$55)</f>
        <v>1427862</v>
      </c>
      <c r="F167" s="38">
        <f ca="1">INDIRECT("'"&amp;コード表!$C$3&amp;"'!"&amp;コード表!$D88&amp;コード表!F$55)</f>
        <v>1446108</v>
      </c>
      <c r="G167" s="38">
        <f ca="1">INDIRECT("'"&amp;コード表!$C$3&amp;"'!"&amp;コード表!$D88&amp;コード表!G$55)</f>
        <v>1540209</v>
      </c>
      <c r="H167" s="38">
        <f ca="1">INDIRECT("'"&amp;コード表!$C$3&amp;"'!"&amp;コード表!$D88&amp;コード表!H$55)</f>
        <v>1583525</v>
      </c>
      <c r="I167" s="38">
        <f ca="1">INDIRECT("'"&amp;コード表!$C$3&amp;"'!"&amp;コード表!$D88&amp;コード表!I$55)</f>
        <v>1619768</v>
      </c>
      <c r="J167" s="38">
        <f ca="1">INDIRECT("'"&amp;コード表!$C$3&amp;"'!"&amp;コード表!$D88&amp;コード表!J$55)</f>
        <v>1638615</v>
      </c>
      <c r="K167" s="38">
        <f ca="1">INDIRECT("'"&amp;コード表!$C$3&amp;"'!"&amp;コード表!$D88&amp;コード表!K$55)</f>
        <v>1645516</v>
      </c>
      <c r="L167" s="38">
        <f ca="1">INDIRECT("'"&amp;コード表!$C$3&amp;"'!"&amp;コード表!$D88&amp;コード表!L$55)</f>
        <v>1599221</v>
      </c>
      <c r="M167" s="38">
        <f ca="1">INDIRECT("'"&amp;コード表!$C$3&amp;"'!"&amp;コード表!$D88&amp;コード表!M$55)</f>
        <v>1637570</v>
      </c>
      <c r="N167" s="38">
        <f ca="1">INDIRECT("'"&amp;コード表!$C$3&amp;"'!"&amp;コード表!$D88&amp;コード表!N$55)</f>
        <v>1646938</v>
      </c>
      <c r="O167" s="2"/>
      <c r="Q167" s="81" t="s">
        <v>252</v>
      </c>
    </row>
    <row r="168" spans="1:29" ht="16.5" customHeight="1">
      <c r="A168" s="246" t="s">
        <v>148</v>
      </c>
      <c r="B168" s="111" t="s">
        <v>141</v>
      </c>
      <c r="C168" s="36">
        <f ca="1">INDIRECT("'"&amp;コード表!$C$3&amp;"'!"&amp;コード表!$D88&amp;コード表!C$56)</f>
        <v>500619</v>
      </c>
      <c r="D168" s="38">
        <f ca="1">INDIRECT("'"&amp;コード表!$C$3&amp;"'!"&amp;コード表!$D88&amp;コード表!D$56)</f>
        <v>507440</v>
      </c>
      <c r="E168" s="38">
        <f ca="1">INDIRECT("'"&amp;コード表!$C$3&amp;"'!"&amp;コード表!$D88&amp;コード表!E$56)</f>
        <v>532429</v>
      </c>
      <c r="F168" s="38">
        <f ca="1">INDIRECT("'"&amp;コード表!$C$3&amp;"'!"&amp;コード表!$D88&amp;コード表!F$56)</f>
        <v>537894</v>
      </c>
      <c r="G168" s="38">
        <f ca="1">INDIRECT("'"&amp;コード表!$C$3&amp;"'!"&amp;コード表!$D88&amp;コード表!G$56)</f>
        <v>573490</v>
      </c>
      <c r="H168" s="38">
        <f ca="1">INDIRECT("'"&amp;コード表!$C$3&amp;"'!"&amp;コード表!$D88&amp;コード表!H$56)</f>
        <v>602351</v>
      </c>
      <c r="I168" s="38">
        <f ca="1">INDIRECT("'"&amp;コード表!$C$3&amp;"'!"&amp;コード表!$D88&amp;コード表!I$56)</f>
        <v>607024</v>
      </c>
      <c r="J168" s="38">
        <f ca="1">INDIRECT("'"&amp;コード表!$C$3&amp;"'!"&amp;コード表!$D88&amp;コード表!J$56)</f>
        <v>616683</v>
      </c>
      <c r="K168" s="38">
        <f ca="1">INDIRECT("'"&amp;コード表!$C$3&amp;"'!"&amp;コード表!$D88&amp;コード表!K$56)</f>
        <v>626670</v>
      </c>
      <c r="L168" s="38">
        <f ca="1">INDIRECT("'"&amp;コード表!$C$3&amp;"'!"&amp;コード表!$D88&amp;コード表!L$56)</f>
        <v>603262</v>
      </c>
      <c r="M168" s="38">
        <f ca="1">INDIRECT("'"&amp;コード表!$C$3&amp;"'!"&amp;コード表!$D88&amp;コード表!M$56)</f>
        <v>621828</v>
      </c>
      <c r="N168" s="38">
        <f ca="1">INDIRECT("'"&amp;コード表!$C$3&amp;"'!"&amp;コード表!$D88&amp;コード表!N$56)</f>
        <v>633155</v>
      </c>
      <c r="O168" s="179"/>
      <c r="Q168" s="204" t="str">
        <f>"("&amp;地域分析!$E$2&amp;")"</f>
        <v>(令和４年度)</v>
      </c>
    </row>
    <row r="169" spans="1:29" ht="16.5" customHeight="1" thickBot="1">
      <c r="A169" s="246" t="s">
        <v>149</v>
      </c>
      <c r="B169" s="111" t="s">
        <v>142</v>
      </c>
      <c r="C169" s="36">
        <f ca="1">INDIRECT("'"&amp;コード表!$C$3&amp;"'!"&amp;コード表!$D88&amp;コード表!C$57)</f>
        <v>1229306</v>
      </c>
      <c r="D169" s="38">
        <f ca="1">INDIRECT("'"&amp;コード表!$C$3&amp;"'!"&amp;コード表!$D88&amp;コード表!D$57)</f>
        <v>1219955</v>
      </c>
      <c r="E169" s="38">
        <f ca="1">INDIRECT("'"&amp;コード表!$C$3&amp;"'!"&amp;コード表!$D88&amp;コード表!E$57)</f>
        <v>1244914</v>
      </c>
      <c r="F169" s="38">
        <f ca="1">INDIRECT("'"&amp;コード表!$C$3&amp;"'!"&amp;コード表!$D88&amp;コード表!F$57)</f>
        <v>1278091</v>
      </c>
      <c r="G169" s="38">
        <f ca="1">INDIRECT("'"&amp;コード表!$C$3&amp;"'!"&amp;コード表!$D88&amp;コード表!G$57)</f>
        <v>1322816</v>
      </c>
      <c r="H169" s="38">
        <f ca="1">INDIRECT("'"&amp;コード表!$C$3&amp;"'!"&amp;コード表!$D88&amp;コード表!H$57)</f>
        <v>1370560</v>
      </c>
      <c r="I169" s="38">
        <f ca="1">INDIRECT("'"&amp;コード表!$C$3&amp;"'!"&amp;コード表!$D88&amp;コード表!I$57)</f>
        <v>1385392</v>
      </c>
      <c r="J169" s="38">
        <f ca="1">INDIRECT("'"&amp;コード表!$C$3&amp;"'!"&amp;コード表!$D88&amp;コード表!J$57)</f>
        <v>1397013</v>
      </c>
      <c r="K169" s="38">
        <f ca="1">INDIRECT("'"&amp;コード表!$C$3&amp;"'!"&amp;コード表!$D88&amp;コード表!K$57)</f>
        <v>1384603</v>
      </c>
      <c r="L169" s="38">
        <f ca="1">INDIRECT("'"&amp;コード表!$C$3&amp;"'!"&amp;コード表!$D88&amp;コード表!L$57)</f>
        <v>1255549</v>
      </c>
      <c r="M169" s="38">
        <f ca="1">INDIRECT("'"&amp;コード表!$C$3&amp;"'!"&amp;コード表!$D88&amp;コード表!M$57)</f>
        <v>1320519</v>
      </c>
      <c r="N169" s="38">
        <f ca="1">INDIRECT("'"&amp;コード表!$C$3&amp;"'!"&amp;コード表!$D88&amp;コード表!N$57)</f>
        <v>1393876</v>
      </c>
      <c r="O169" s="180"/>
      <c r="Q169" s="237"/>
      <c r="R169" s="236" t="s">
        <v>253</v>
      </c>
      <c r="S169" s="236" t="s">
        <v>254</v>
      </c>
      <c r="U169" s="236" t="s">
        <v>255</v>
      </c>
      <c r="V169" s="236" t="s">
        <v>256</v>
      </c>
      <c r="X169" s="100" t="s">
        <v>121</v>
      </c>
    </row>
    <row r="170" spans="1:29" ht="16.5" customHeight="1">
      <c r="A170" s="246" t="s">
        <v>150</v>
      </c>
      <c r="B170" s="111" t="s">
        <v>143</v>
      </c>
      <c r="C170" s="36">
        <f ca="1">INDIRECT("'"&amp;コード表!$C$3&amp;"'!"&amp;コード表!$D88&amp;コード表!C$58)</f>
        <v>149406</v>
      </c>
      <c r="D170" s="38">
        <f ca="1">INDIRECT("'"&amp;コード表!$C$3&amp;"'!"&amp;コード表!$D88&amp;コード表!D$58)</f>
        <v>151888</v>
      </c>
      <c r="E170" s="38">
        <f ca="1">INDIRECT("'"&amp;コード表!$C$3&amp;"'!"&amp;コード表!$D88&amp;コード表!E$58)</f>
        <v>157913</v>
      </c>
      <c r="F170" s="38">
        <f ca="1">INDIRECT("'"&amp;コード表!$C$3&amp;"'!"&amp;コード表!$D88&amp;コード表!F$58)</f>
        <v>157055</v>
      </c>
      <c r="G170" s="38">
        <f ca="1">INDIRECT("'"&amp;コード表!$C$3&amp;"'!"&amp;コード表!$D88&amp;コード表!G$58)</f>
        <v>159653</v>
      </c>
      <c r="H170" s="38">
        <f ca="1">INDIRECT("'"&amp;コード表!$C$3&amp;"'!"&amp;コード表!$D88&amp;コード表!H$58)</f>
        <v>175480</v>
      </c>
      <c r="I170" s="38">
        <f ca="1">INDIRECT("'"&amp;コード表!$C$3&amp;"'!"&amp;コード表!$D88&amp;コード表!I$58)</f>
        <v>181921</v>
      </c>
      <c r="J170" s="38">
        <f ca="1">INDIRECT("'"&amp;コード表!$C$3&amp;"'!"&amp;コード表!$D88&amp;コード表!J$58)</f>
        <v>188403</v>
      </c>
      <c r="K170" s="38">
        <f ca="1">INDIRECT("'"&amp;コード表!$C$3&amp;"'!"&amp;コード表!$D88&amp;コード表!K$58)</f>
        <v>197353</v>
      </c>
      <c r="L170" s="38">
        <f ca="1">INDIRECT("'"&amp;コード表!$C$3&amp;"'!"&amp;コード表!$D88&amp;コード表!L$58)</f>
        <v>182223</v>
      </c>
      <c r="M170" s="38">
        <f ca="1">INDIRECT("'"&amp;コード表!$C$3&amp;"'!"&amp;コード表!$D88&amp;コード表!M$58)</f>
        <v>187425</v>
      </c>
      <c r="N170" s="38">
        <f ca="1">INDIRECT("'"&amp;コード表!$C$3&amp;"'!"&amp;コード表!$D88&amp;コード表!N$58)</f>
        <v>182794</v>
      </c>
      <c r="O170" s="30"/>
      <c r="Q170" s="74" t="s">
        <v>51</v>
      </c>
      <c r="R170" s="238">
        <f ca="1">HLOOKUP(コード表!$K$108,地域分析BD!$C$208:$N$227,3,FALSE)</f>
        <v>0.80124979547374997</v>
      </c>
      <c r="S170" s="238">
        <f t="shared" ref="S170:S187" ca="1" si="107">P68</f>
        <v>1.94421885447486E-2</v>
      </c>
      <c r="U170" s="73">
        <f ca="1">IF(S170="X","X",S170/R170)</f>
        <v>2.4264828090537156E-2</v>
      </c>
      <c r="V170" s="73">
        <v>1</v>
      </c>
      <c r="X170" s="350" t="s">
        <v>51</v>
      </c>
      <c r="Y170" s="352" t="s">
        <v>52</v>
      </c>
      <c r="Z170" s="352" t="s">
        <v>53</v>
      </c>
      <c r="AA170" s="352" t="s">
        <v>54</v>
      </c>
      <c r="AB170" s="352" t="s">
        <v>55</v>
      </c>
      <c r="AC170" s="348" t="s">
        <v>57</v>
      </c>
    </row>
    <row r="171" spans="1:29" ht="16.5" customHeight="1">
      <c r="A171" s="247" t="s">
        <v>151</v>
      </c>
      <c r="B171" s="112" t="s">
        <v>144</v>
      </c>
      <c r="C171" s="37">
        <f ca="1">INDIRECT("'"&amp;コード表!$C$3&amp;"'!"&amp;コード表!$D88&amp;コード表!C$59)</f>
        <v>159151</v>
      </c>
      <c r="D171" s="39">
        <f ca="1">INDIRECT("'"&amp;コード表!$C$3&amp;"'!"&amp;コード表!$D88&amp;コード表!D$59)</f>
        <v>156060</v>
      </c>
      <c r="E171" s="39">
        <f ca="1">INDIRECT("'"&amp;コード表!$C$3&amp;"'!"&amp;コード表!$D88&amp;コード表!E$59)</f>
        <v>166565</v>
      </c>
      <c r="F171" s="39">
        <f ca="1">INDIRECT("'"&amp;コード表!$C$3&amp;"'!"&amp;コード表!$D88&amp;コード表!F$59)</f>
        <v>174052</v>
      </c>
      <c r="G171" s="39">
        <f ca="1">INDIRECT("'"&amp;コード表!$C$3&amp;"'!"&amp;コード表!$D88&amp;コード表!G$59)</f>
        <v>181196</v>
      </c>
      <c r="H171" s="39">
        <f ca="1">INDIRECT("'"&amp;コード表!$C$3&amp;"'!"&amp;コード表!$D88&amp;コード表!H$59)</f>
        <v>184842</v>
      </c>
      <c r="I171" s="39">
        <f ca="1">INDIRECT("'"&amp;コード表!$C$3&amp;"'!"&amp;コード表!$D88&amp;コード表!I$59)</f>
        <v>190414</v>
      </c>
      <c r="J171" s="39">
        <f ca="1">INDIRECT("'"&amp;コード表!$C$3&amp;"'!"&amp;コード表!$D88&amp;コード表!J$59)</f>
        <v>192171</v>
      </c>
      <c r="K171" s="39">
        <f ca="1">INDIRECT("'"&amp;コード表!$C$3&amp;"'!"&amp;コード表!$D88&amp;コード表!K$59)</f>
        <v>195335</v>
      </c>
      <c r="L171" s="39">
        <f ca="1">INDIRECT("'"&amp;コード表!$C$3&amp;"'!"&amp;コード表!$D88&amp;コード表!L$59)</f>
        <v>173217</v>
      </c>
      <c r="M171" s="39">
        <f ca="1">INDIRECT("'"&amp;コード表!$C$3&amp;"'!"&amp;コード表!$D88&amp;コード表!M$59)</f>
        <v>202448</v>
      </c>
      <c r="N171" s="39">
        <f ca="1">INDIRECT("'"&amp;コード表!$C$3&amp;"'!"&amp;コード表!$D88&amp;コード表!N$59)</f>
        <v>192086</v>
      </c>
      <c r="O171" s="30"/>
      <c r="Q171" s="76" t="s">
        <v>52</v>
      </c>
      <c r="R171" s="239">
        <f ca="1">HLOOKUP(コード表!$K$108,地域分析BD!$C$208:$N$227,4,FALSE)</f>
        <v>8.1586361629306537E-3</v>
      </c>
      <c r="S171" s="239">
        <f t="shared" ca="1" si="107"/>
        <v>3.3001500850864782E-3</v>
      </c>
      <c r="U171" s="75">
        <f t="shared" ref="U171" ca="1" si="108">IF(S171="X","X",S171/R171)</f>
        <v>0.40449776398669984</v>
      </c>
      <c r="V171" s="75">
        <v>1</v>
      </c>
      <c r="X171" s="351"/>
      <c r="Y171" s="353"/>
      <c r="Z171" s="353"/>
      <c r="AA171" s="353"/>
      <c r="AB171" s="353"/>
      <c r="AC171" s="349"/>
    </row>
    <row r="172" spans="1:29" ht="16.5" customHeight="1" thickBot="1">
      <c r="A172" s="247"/>
      <c r="B172" s="112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0"/>
      <c r="Q172" s="76" t="s">
        <v>53</v>
      </c>
      <c r="R172" s="240">
        <f ca="1">HLOOKUP(コード表!$K$108,地域分析BD!$C$208:$N$227,5,FALSE)</f>
        <v>0.17969172010498641</v>
      </c>
      <c r="S172" s="239">
        <f t="shared" ca="1" si="107"/>
        <v>0.11234858767924837</v>
      </c>
      <c r="U172" s="75">
        <f t="shared" ref="U172:U186" ca="1" si="109">IF(S172="X","X",S172/R172)</f>
        <v>0.62522963002194953</v>
      </c>
      <c r="V172" s="75">
        <v>1</v>
      </c>
      <c r="X172" s="324">
        <f ca="1">U170</f>
        <v>2.4264828090537156E-2</v>
      </c>
      <c r="Y172" s="325">
        <f ca="1">U171</f>
        <v>0.40449776398669984</v>
      </c>
      <c r="Z172" s="325">
        <f ca="1">U172</f>
        <v>0.62522963002194953</v>
      </c>
      <c r="AA172" s="325">
        <f ca="1">U173</f>
        <v>0.22141333546332204</v>
      </c>
      <c r="AB172" s="325">
        <f ca="1">U174</f>
        <v>0.23112179283154249</v>
      </c>
      <c r="AC172" s="326">
        <f ca="1">U175</f>
        <v>0.52772848346529755</v>
      </c>
    </row>
    <row r="173" spans="1:29" ht="16.5" customHeight="1">
      <c r="A173" s="209" t="s">
        <v>246</v>
      </c>
      <c r="B173" s="112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0"/>
      <c r="Q173" s="74" t="s">
        <v>54</v>
      </c>
      <c r="R173" s="239">
        <f ca="1">HLOOKUP(コード表!$K$108,地域分析BD!$C$208:$N$227,6,FALSE)</f>
        <v>0.24074700831329165</v>
      </c>
      <c r="S173" s="238">
        <f t="shared" ca="1" si="107"/>
        <v>5.3304598113462026E-2</v>
      </c>
      <c r="U173" s="73">
        <f t="shared" ca="1" si="109"/>
        <v>0.22141333546332204</v>
      </c>
      <c r="V173" s="73">
        <v>1</v>
      </c>
      <c r="X173" s="199" t="s">
        <v>107</v>
      </c>
      <c r="Y173" s="352" t="s">
        <v>58</v>
      </c>
      <c r="Z173" s="352" t="s">
        <v>59</v>
      </c>
      <c r="AA173" s="201" t="s">
        <v>110</v>
      </c>
      <c r="AB173" s="352" t="s">
        <v>61</v>
      </c>
      <c r="AC173" s="348" t="s">
        <v>62</v>
      </c>
    </row>
    <row r="174" spans="1:29" ht="16.5" customHeight="1">
      <c r="A174" s="122" t="str">
        <f>A$2</f>
        <v>那　　覇</v>
      </c>
      <c r="B174" s="208" t="s">
        <v>244</v>
      </c>
      <c r="C174" s="210" t="s">
        <v>245</v>
      </c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30"/>
      <c r="Q174" s="76" t="s">
        <v>55</v>
      </c>
      <c r="R174" s="239">
        <f ca="1">HLOOKUP(コード表!$K$108,地域分析BD!$C$208:$N$227,7,FALSE)</f>
        <v>4.0356335158566683</v>
      </c>
      <c r="S174" s="239">
        <f t="shared" ca="1" si="107"/>
        <v>0.93272285339585437</v>
      </c>
      <c r="U174" s="75">
        <f t="shared" ca="1" si="109"/>
        <v>0.23112179283154249</v>
      </c>
      <c r="V174" s="75">
        <v>1</v>
      </c>
      <c r="X174" s="200" t="s">
        <v>108</v>
      </c>
      <c r="Y174" s="353"/>
      <c r="Z174" s="353"/>
      <c r="AA174" s="202" t="s">
        <v>109</v>
      </c>
      <c r="AB174" s="353"/>
      <c r="AC174" s="349"/>
    </row>
    <row r="175" spans="1:29" ht="16.5" customHeight="1" thickBot="1">
      <c r="A175" s="34" t="s">
        <v>270</v>
      </c>
      <c r="B175" s="108"/>
      <c r="C175" s="109"/>
      <c r="D175" s="109"/>
      <c r="E175" s="109"/>
      <c r="F175" s="2"/>
      <c r="G175" s="2"/>
      <c r="H175" s="1"/>
      <c r="I175" s="2"/>
      <c r="J175" s="2"/>
      <c r="K175" s="2"/>
      <c r="L175" s="2"/>
      <c r="M175" s="2"/>
      <c r="N175" s="2"/>
      <c r="O175" s="30"/>
      <c r="Q175" s="78" t="s">
        <v>57</v>
      </c>
      <c r="R175" s="239">
        <f ca="1">HLOOKUP(コード表!$K$108,地域分析BD!$C$208:$N$227,8,FALSE)</f>
        <v>8.9372031567646069</v>
      </c>
      <c r="S175" s="240">
        <f t="shared" ca="1" si="107"/>
        <v>4.7164166683406563</v>
      </c>
      <c r="U175" s="77">
        <f t="shared" ca="1" si="109"/>
        <v>0.52772848346529755</v>
      </c>
      <c r="V175" s="77">
        <v>1</v>
      </c>
      <c r="X175" s="327">
        <f ca="1">U176</f>
        <v>0.97558340504221264</v>
      </c>
      <c r="Y175" s="328">
        <f ca="1">U177</f>
        <v>0.94407945837145912</v>
      </c>
      <c r="Z175" s="328">
        <f ca="1">U178</f>
        <v>1.4700645314280645</v>
      </c>
      <c r="AA175" s="328">
        <f ca="1">U179</f>
        <v>0.90873821157711854</v>
      </c>
      <c r="AB175" s="328">
        <f ca="1">U180</f>
        <v>1.7493995719202795</v>
      </c>
      <c r="AC175" s="329">
        <f ca="1">U181</f>
        <v>1.8984864780159023</v>
      </c>
    </row>
    <row r="176" spans="1:29" ht="16.5" customHeight="1">
      <c r="A176" s="6"/>
      <c r="B176" s="7"/>
      <c r="C176" s="27">
        <f>C$4</f>
        <v>23</v>
      </c>
      <c r="D176" s="27">
        <f t="shared" ref="D176:N176" si="110">D$4</f>
        <v>24</v>
      </c>
      <c r="E176" s="27">
        <f t="shared" si="110"/>
        <v>25</v>
      </c>
      <c r="F176" s="27">
        <f t="shared" si="110"/>
        <v>26</v>
      </c>
      <c r="G176" s="27">
        <f t="shared" si="110"/>
        <v>27</v>
      </c>
      <c r="H176" s="27">
        <f t="shared" si="110"/>
        <v>28</v>
      </c>
      <c r="I176" s="27">
        <f t="shared" si="110"/>
        <v>29</v>
      </c>
      <c r="J176" s="27">
        <f t="shared" si="110"/>
        <v>30</v>
      </c>
      <c r="K176" s="27">
        <f t="shared" si="110"/>
        <v>1</v>
      </c>
      <c r="L176" s="27">
        <f t="shared" si="110"/>
        <v>2</v>
      </c>
      <c r="M176" s="27">
        <f t="shared" si="110"/>
        <v>3</v>
      </c>
      <c r="N176" s="27">
        <f t="shared" si="110"/>
        <v>4</v>
      </c>
      <c r="O176" s="30"/>
      <c r="Q176" s="85" t="s">
        <v>123</v>
      </c>
      <c r="R176" s="238">
        <f ca="1">HLOOKUP(コード表!$K$108,地域分析BD!$C$208:$N$227,9,FALSE)</f>
        <v>1.9819210001950003</v>
      </c>
      <c r="S176" s="239">
        <f t="shared" ca="1" si="107"/>
        <v>1.933529237894906</v>
      </c>
      <c r="U176" s="75">
        <f t="shared" ca="1" si="109"/>
        <v>0.97558340504221264</v>
      </c>
      <c r="V176" s="75">
        <v>1</v>
      </c>
      <c r="X176" s="350" t="s">
        <v>63</v>
      </c>
      <c r="Y176" s="82" t="s">
        <v>111</v>
      </c>
      <c r="Z176" s="352" t="s">
        <v>65</v>
      </c>
      <c r="AA176" s="352" t="s">
        <v>66</v>
      </c>
      <c r="AB176" s="82" t="s">
        <v>113</v>
      </c>
      <c r="AC176" s="83" t="s">
        <v>115</v>
      </c>
    </row>
    <row r="177" spans="1:29" ht="16.5" customHeight="1">
      <c r="A177" s="12"/>
      <c r="B177" s="13"/>
      <c r="C177" s="28">
        <f>C$5</f>
        <v>2011</v>
      </c>
      <c r="D177" s="28">
        <f t="shared" ref="D177:N177" si="111">D$5</f>
        <v>2012</v>
      </c>
      <c r="E177" s="28">
        <f t="shared" si="111"/>
        <v>2013</v>
      </c>
      <c r="F177" s="28">
        <f t="shared" si="111"/>
        <v>2014</v>
      </c>
      <c r="G177" s="28">
        <f t="shared" si="111"/>
        <v>2015</v>
      </c>
      <c r="H177" s="28">
        <f t="shared" si="111"/>
        <v>2016</v>
      </c>
      <c r="I177" s="28">
        <f t="shared" si="111"/>
        <v>2017</v>
      </c>
      <c r="J177" s="28">
        <f t="shared" si="111"/>
        <v>2018</v>
      </c>
      <c r="K177" s="28">
        <f t="shared" si="111"/>
        <v>2019</v>
      </c>
      <c r="L177" s="28">
        <f t="shared" si="111"/>
        <v>2020</v>
      </c>
      <c r="M177" s="28">
        <f t="shared" si="111"/>
        <v>2021</v>
      </c>
      <c r="N177" s="28">
        <f t="shared" si="111"/>
        <v>2022</v>
      </c>
      <c r="O177" s="30"/>
      <c r="Q177" s="76" t="s">
        <v>58</v>
      </c>
      <c r="R177" s="239">
        <f ca="1">HLOOKUP(コード表!$K$108,地域分析BD!$C$208:$N$227,10,FALSE)</f>
        <v>9.4450334302358172</v>
      </c>
      <c r="S177" s="239">
        <f t="shared" ca="1" si="107"/>
        <v>8.9168620451173553</v>
      </c>
      <c r="U177" s="75">
        <f t="shared" ca="1" si="109"/>
        <v>0.94407945837145912</v>
      </c>
      <c r="V177" s="75">
        <v>1</v>
      </c>
      <c r="X177" s="351"/>
      <c r="Y177" s="202" t="s">
        <v>112</v>
      </c>
      <c r="Z177" s="353"/>
      <c r="AA177" s="353"/>
      <c r="AB177" s="202" t="s">
        <v>114</v>
      </c>
      <c r="AC177" s="203" t="s">
        <v>116</v>
      </c>
    </row>
    <row r="178" spans="1:29" ht="16.5" customHeight="1" thickBot="1">
      <c r="A178" s="126" t="s">
        <v>159</v>
      </c>
      <c r="B178" s="23" t="s">
        <v>51</v>
      </c>
      <c r="C178" s="170"/>
      <c r="D178" s="31">
        <f ca="1">IF(C134="X","X",IF(D134="X","X",IF(C134&lt;&gt;0,ROUND((D134-C134)/ABS(C134)*100,3),"- ")))</f>
        <v>11.752000000000001</v>
      </c>
      <c r="E178" s="31">
        <f t="shared" ref="E178:N178" ca="1" si="112">IF(D134="X","X",IF(E134="X","X",IF(D134&lt;&gt;0,ROUND((E134-D134)/ABS(D134)*100,3),"- ")))</f>
        <v>-6.3440000000000003</v>
      </c>
      <c r="F178" s="31">
        <f t="shared" ca="1" si="112"/>
        <v>7.3559999999999999</v>
      </c>
      <c r="G178" s="31">
        <f t="shared" ca="1" si="112"/>
        <v>-4.1929999999999996</v>
      </c>
      <c r="H178" s="31">
        <f t="shared" ca="1" si="112"/>
        <v>37.332999999999998</v>
      </c>
      <c r="I178" s="31">
        <f t="shared" ca="1" si="112"/>
        <v>-19.753</v>
      </c>
      <c r="J178" s="31">
        <f t="shared" ca="1" si="112"/>
        <v>-8.0869999999999997</v>
      </c>
      <c r="K178" s="31">
        <f t="shared" ca="1" si="112"/>
        <v>-4.3250000000000002</v>
      </c>
      <c r="L178" s="31">
        <f t="shared" ca="1" si="112"/>
        <v>-19.887</v>
      </c>
      <c r="M178" s="31">
        <f t="shared" ca="1" si="112"/>
        <v>19.779</v>
      </c>
      <c r="N178" s="31">
        <f t="shared" ca="1" si="112"/>
        <v>-20.638000000000002</v>
      </c>
      <c r="O178" s="30"/>
      <c r="Q178" s="76" t="s">
        <v>59</v>
      </c>
      <c r="R178" s="239">
        <f ca="1">HLOOKUP(コード表!$K$108,地域分析BD!$C$208:$N$227,11,FALSE)</f>
        <v>6.3965052347513067</v>
      </c>
      <c r="S178" s="239">
        <f t="shared" ca="1" si="107"/>
        <v>9.4032754707018409</v>
      </c>
      <c r="U178" s="75">
        <f t="shared" ca="1" si="109"/>
        <v>1.4700645314280645</v>
      </c>
      <c r="V178" s="75">
        <v>1</v>
      </c>
      <c r="X178" s="327">
        <f ca="1">U182</f>
        <v>0.85139946455748827</v>
      </c>
      <c r="Y178" s="328">
        <f ca="1">U183</f>
        <v>1.3500055925503143</v>
      </c>
      <c r="Z178" s="328">
        <f ca="1">U184</f>
        <v>1.484682043029675</v>
      </c>
      <c r="AA178" s="328">
        <f ca="1">U185</f>
        <v>0.55481963121660272</v>
      </c>
      <c r="AB178" s="328">
        <f ca="1">U186</f>
        <v>0.75146042272785851</v>
      </c>
      <c r="AC178" s="329">
        <f ca="1">U187</f>
        <v>0.80447983418551983</v>
      </c>
    </row>
    <row r="179" spans="1:29" ht="16.5" customHeight="1">
      <c r="A179" s="126" t="s">
        <v>3</v>
      </c>
      <c r="B179" s="111" t="s">
        <v>52</v>
      </c>
      <c r="C179" s="171"/>
      <c r="D179" s="30">
        <f t="shared" ref="D179:N179" ca="1" si="113">IF(C135="X","X",IF(D135="X","X",IF(C135&lt;&gt;0,ROUND((D135-C135)/ABS(C135)*100,3),"- ")))</f>
        <v>-6.984</v>
      </c>
      <c r="E179" s="30">
        <f t="shared" ca="1" si="113"/>
        <v>8.8740000000000006</v>
      </c>
      <c r="F179" s="30">
        <f t="shared" ca="1" si="113"/>
        <v>13.166</v>
      </c>
      <c r="G179" s="30">
        <f t="shared" ca="1" si="113"/>
        <v>-3.0470000000000002</v>
      </c>
      <c r="H179" s="30">
        <f t="shared" ca="1" si="113"/>
        <v>1.143</v>
      </c>
      <c r="I179" s="30">
        <f t="shared" ca="1" si="113"/>
        <v>-7.6269999999999998</v>
      </c>
      <c r="J179" s="30">
        <f t="shared" ca="1" si="113"/>
        <v>-1.5289999999999999</v>
      </c>
      <c r="K179" s="30">
        <f t="shared" ca="1" si="113"/>
        <v>21.117999999999999</v>
      </c>
      <c r="L179" s="30">
        <f t="shared" ca="1" si="113"/>
        <v>7.4359999999999999</v>
      </c>
      <c r="M179" s="30">
        <f t="shared" ca="1" si="113"/>
        <v>1.4319999999999999</v>
      </c>
      <c r="N179" s="30">
        <f t="shared" ca="1" si="113"/>
        <v>-14.353</v>
      </c>
      <c r="O179" s="30"/>
      <c r="Q179" s="84" t="s">
        <v>124</v>
      </c>
      <c r="R179" s="239">
        <f ca="1">HLOOKUP(コード表!$K$108,地域分析BD!$C$208:$N$227,12,FALSE)</f>
        <v>3.7672054205620045</v>
      </c>
      <c r="S179" s="239">
        <f t="shared" ca="1" si="107"/>
        <v>3.4234035165251426</v>
      </c>
      <c r="U179" s="75">
        <f t="shared" ca="1" si="109"/>
        <v>0.90873821157711854</v>
      </c>
      <c r="V179" s="75">
        <v>1</v>
      </c>
      <c r="X179" s="334"/>
      <c r="Y179" s="334"/>
      <c r="Z179" s="334"/>
      <c r="AA179" s="334"/>
      <c r="AB179" s="334"/>
      <c r="AC179" s="241" t="str">
        <f ca="1">IF(SUM(U170:U187)=SUM(X172:AC172,X175:AC175,X178:AC178),"OK","NG")</f>
        <v>OK</v>
      </c>
    </row>
    <row r="180" spans="1:29" ht="16.5" customHeight="1">
      <c r="A180" s="126" t="s">
        <v>5</v>
      </c>
      <c r="B180" s="111" t="s">
        <v>53</v>
      </c>
      <c r="C180" s="171"/>
      <c r="D180" s="30">
        <f t="shared" ref="D180:N180" ca="1" si="114">IF(C136="X","X",IF(D136="X","X",IF(C136&lt;&gt;0,ROUND((D136-C136)/ABS(C136)*100,3),"- ")))</f>
        <v>12.641999999999999</v>
      </c>
      <c r="E180" s="30">
        <f t="shared" ca="1" si="114"/>
        <v>-2.9470000000000001</v>
      </c>
      <c r="F180" s="30">
        <f t="shared" ca="1" si="114"/>
        <v>11.936</v>
      </c>
      <c r="G180" s="30">
        <f t="shared" ca="1" si="114"/>
        <v>20.164000000000001</v>
      </c>
      <c r="H180" s="30">
        <f t="shared" ca="1" si="114"/>
        <v>-0.40500000000000003</v>
      </c>
      <c r="I180" s="30">
        <f t="shared" ca="1" si="114"/>
        <v>5.117</v>
      </c>
      <c r="J180" s="30">
        <f t="shared" ca="1" si="114"/>
        <v>-0.64300000000000002</v>
      </c>
      <c r="K180" s="30">
        <f t="shared" ca="1" si="114"/>
        <v>-6.8390000000000004</v>
      </c>
      <c r="L180" s="30">
        <f t="shared" ca="1" si="114"/>
        <v>-17.925000000000001</v>
      </c>
      <c r="M180" s="30">
        <f t="shared" ca="1" si="114"/>
        <v>-4.75</v>
      </c>
      <c r="N180" s="30">
        <f t="shared" ca="1" si="114"/>
        <v>-2.4809999999999999</v>
      </c>
      <c r="O180" s="30"/>
      <c r="Q180" s="76" t="s">
        <v>61</v>
      </c>
      <c r="R180" s="239">
        <f ca="1">HLOOKUP(コード表!$K$108,地域分析BD!$C$208:$N$227,13,FALSE)</f>
        <v>3.770926117273671</v>
      </c>
      <c r="S180" s="239">
        <f t="shared" ca="1" si="107"/>
        <v>6.596856535301562</v>
      </c>
      <c r="U180" s="75">
        <f t="shared" ca="1" si="109"/>
        <v>1.7493995719202795</v>
      </c>
      <c r="V180" s="75">
        <v>1</v>
      </c>
      <c r="X180" s="335"/>
      <c r="Y180" s="335"/>
      <c r="Z180" s="335"/>
      <c r="AA180" s="335"/>
      <c r="AB180" s="335"/>
      <c r="AC180" s="335"/>
    </row>
    <row r="181" spans="1:29" ht="16.5" customHeight="1">
      <c r="A181" s="126" t="s">
        <v>7</v>
      </c>
      <c r="B181" s="23" t="s">
        <v>54</v>
      </c>
      <c r="C181" s="171"/>
      <c r="D181" s="30">
        <f t="shared" ref="D181:N181" ca="1" si="115">IF(C137="X","X",IF(D137="X","X",IF(C137&lt;&gt;0,ROUND((D137-C137)/ABS(C137)*100,3),"- ")))</f>
        <v>-0.249</v>
      </c>
      <c r="E181" s="30">
        <f t="shared" ca="1" si="115"/>
        <v>21.385999999999999</v>
      </c>
      <c r="F181" s="30">
        <f t="shared" ca="1" si="115"/>
        <v>15.920999999999999</v>
      </c>
      <c r="G181" s="30">
        <f t="shared" ca="1" si="115"/>
        <v>26.248000000000001</v>
      </c>
      <c r="H181" s="30">
        <f t="shared" ca="1" si="115"/>
        <v>7.8559999999999999</v>
      </c>
      <c r="I181" s="30">
        <f t="shared" ca="1" si="115"/>
        <v>15.218999999999999</v>
      </c>
      <c r="J181" s="30">
        <f t="shared" ca="1" si="115"/>
        <v>7.4669999999999996</v>
      </c>
      <c r="K181" s="30">
        <f t="shared" ca="1" si="115"/>
        <v>6.9610000000000003</v>
      </c>
      <c r="L181" s="30">
        <f t="shared" ca="1" si="115"/>
        <v>6.8040000000000003</v>
      </c>
      <c r="M181" s="30">
        <f t="shared" ca="1" si="115"/>
        <v>1.048</v>
      </c>
      <c r="N181" s="30">
        <f t="shared" ca="1" si="115"/>
        <v>22.446000000000002</v>
      </c>
      <c r="O181" s="30"/>
      <c r="Q181" s="76" t="s">
        <v>62</v>
      </c>
      <c r="R181" s="239">
        <f ca="1">HLOOKUP(コード表!$K$108,地域分析BD!$C$208:$N$227,14,FALSE)</f>
        <v>3.9395678164217207</v>
      </c>
      <c r="S181" s="239">
        <f t="shared" ca="1" si="107"/>
        <v>7.4792162287032715</v>
      </c>
      <c r="U181" s="75">
        <f t="shared" ca="1" si="109"/>
        <v>1.8984864780159023</v>
      </c>
      <c r="V181" s="75">
        <v>1</v>
      </c>
      <c r="AC181" s="241"/>
    </row>
    <row r="182" spans="1:29" ht="16.5" customHeight="1">
      <c r="A182" s="126" t="s">
        <v>9</v>
      </c>
      <c r="B182" s="111" t="s">
        <v>55</v>
      </c>
      <c r="C182" s="171"/>
      <c r="D182" s="30">
        <f t="shared" ref="D182:N182" ca="1" si="116">IF(C138="X","X",IF(D138="X","X",IF(C138&lt;&gt;0,ROUND((D138-C138)/ABS(C138)*100,3),"- ")))</f>
        <v>-20.079999999999998</v>
      </c>
      <c r="E182" s="30">
        <f t="shared" ca="1" si="116"/>
        <v>5.3360000000000003</v>
      </c>
      <c r="F182" s="30">
        <f t="shared" ca="1" si="116"/>
        <v>-3.331</v>
      </c>
      <c r="G182" s="30">
        <f t="shared" ca="1" si="116"/>
        <v>13.339</v>
      </c>
      <c r="H182" s="30">
        <f t="shared" ca="1" si="116"/>
        <v>2.093</v>
      </c>
      <c r="I182" s="30">
        <f t="shared" ca="1" si="116"/>
        <v>-0.46899999999999997</v>
      </c>
      <c r="J182" s="30">
        <f t="shared" ca="1" si="116"/>
        <v>0.89600000000000002</v>
      </c>
      <c r="K182" s="30">
        <f t="shared" ca="1" si="116"/>
        <v>-1.992</v>
      </c>
      <c r="L182" s="30">
        <f t="shared" ca="1" si="116"/>
        <v>8.06</v>
      </c>
      <c r="M182" s="30">
        <f t="shared" ca="1" si="116"/>
        <v>-8.6349999999999998</v>
      </c>
      <c r="N182" s="30">
        <f t="shared" ca="1" si="116"/>
        <v>-3.7290000000000001</v>
      </c>
      <c r="O182" s="30"/>
      <c r="Q182" s="76" t="s">
        <v>63</v>
      </c>
      <c r="R182" s="239">
        <f ca="1">HLOOKUP(コード表!$K$108,地域分析BD!$C$208:$N$227,15,FALSE)</f>
        <v>12.589896291182621</v>
      </c>
      <c r="S182" s="239">
        <f t="shared" ca="1" si="107"/>
        <v>10.71903096114719</v>
      </c>
      <c r="U182" s="75">
        <f t="shared" ca="1" si="109"/>
        <v>0.85139946455748827</v>
      </c>
      <c r="V182" s="75">
        <v>1</v>
      </c>
    </row>
    <row r="183" spans="1:29" ht="16.5" customHeight="1">
      <c r="A183" s="126" t="s">
        <v>11</v>
      </c>
      <c r="B183" s="111" t="s">
        <v>57</v>
      </c>
      <c r="C183" s="171"/>
      <c r="D183" s="30">
        <f t="shared" ref="D183:N183" ca="1" si="117">IF(C139="X","X",IF(D139="X","X",IF(C139&lt;&gt;0,ROUND((D139-C139)/ABS(C139)*100,3),"- ")))</f>
        <v>-1.8759999999999999</v>
      </c>
      <c r="E183" s="30">
        <f t="shared" ca="1" si="117"/>
        <v>21.032</v>
      </c>
      <c r="F183" s="30">
        <f t="shared" ca="1" si="117"/>
        <v>9.6259999999999994</v>
      </c>
      <c r="G183" s="30">
        <f t="shared" ca="1" si="117"/>
        <v>15.547000000000001</v>
      </c>
      <c r="H183" s="30">
        <f t="shared" ca="1" si="117"/>
        <v>6.931</v>
      </c>
      <c r="I183" s="30">
        <f t="shared" ca="1" si="117"/>
        <v>9.1340000000000003</v>
      </c>
      <c r="J183" s="30">
        <f t="shared" ca="1" si="117"/>
        <v>1.7030000000000001</v>
      </c>
      <c r="K183" s="30">
        <f t="shared" ca="1" si="117"/>
        <v>4.0220000000000002</v>
      </c>
      <c r="L183" s="30">
        <f t="shared" ca="1" si="117"/>
        <v>-17.669</v>
      </c>
      <c r="M183" s="30">
        <f t="shared" ca="1" si="117"/>
        <v>20.780999999999999</v>
      </c>
      <c r="N183" s="30">
        <f t="shared" ca="1" si="117"/>
        <v>-15.321999999999999</v>
      </c>
      <c r="O183" s="30"/>
      <c r="Q183" s="84" t="s">
        <v>122</v>
      </c>
      <c r="R183" s="239">
        <f ca="1">HLOOKUP(コード表!$K$108,地域分析BD!$C$208:$N$227,16,FALSE)</f>
        <v>10.837201587796114</v>
      </c>
      <c r="S183" s="239">
        <f t="shared" ca="1" si="107"/>
        <v>14.6302827511199</v>
      </c>
      <c r="U183" s="75">
        <f t="shared" ca="1" si="109"/>
        <v>1.3500055925503143</v>
      </c>
      <c r="V183" s="75">
        <v>1</v>
      </c>
    </row>
    <row r="184" spans="1:29" ht="16.5" customHeight="1">
      <c r="A184" s="126" t="s">
        <v>13</v>
      </c>
      <c r="B184" s="111" t="s">
        <v>56</v>
      </c>
      <c r="C184" s="171"/>
      <c r="D184" s="30">
        <f t="shared" ref="D184:N184" ca="1" si="118">IF(C140="X","X",IF(D140="X","X",IF(C140&lt;&gt;0,ROUND((D140-C140)/ABS(C140)*100,3),"- ")))</f>
        <v>-2.0630000000000002</v>
      </c>
      <c r="E184" s="30">
        <f t="shared" ca="1" si="118"/>
        <v>6.1719999999999997</v>
      </c>
      <c r="F184" s="30">
        <f t="shared" ca="1" si="118"/>
        <v>8.5340000000000007</v>
      </c>
      <c r="G184" s="30">
        <f t="shared" ca="1" si="118"/>
        <v>4.0170000000000003</v>
      </c>
      <c r="H184" s="30">
        <f t="shared" ca="1" si="118"/>
        <v>0.40200000000000002</v>
      </c>
      <c r="I184" s="30">
        <f t="shared" ca="1" si="118"/>
        <v>2.6970000000000001</v>
      </c>
      <c r="J184" s="30">
        <f t="shared" ca="1" si="118"/>
        <v>-1.885</v>
      </c>
      <c r="K184" s="30">
        <f t="shared" ca="1" si="118"/>
        <v>8.3209999999999997</v>
      </c>
      <c r="L184" s="30">
        <f t="shared" ca="1" si="118"/>
        <v>2.226</v>
      </c>
      <c r="M184" s="30">
        <f t="shared" ca="1" si="118"/>
        <v>-2.5190000000000001</v>
      </c>
      <c r="N184" s="30">
        <f t="shared" ca="1" si="118"/>
        <v>-51.255000000000003</v>
      </c>
      <c r="O184" s="30"/>
      <c r="Q184" s="76" t="s">
        <v>65</v>
      </c>
      <c r="R184" s="239">
        <f ca="1">HLOOKUP(コード表!$K$108,地域分析BD!$C$208:$N$227,17,FALSE)</f>
        <v>9.889813584129211</v>
      </c>
      <c r="S184" s="239">
        <f t="shared" ca="1" si="107"/>
        <v>14.68322863726759</v>
      </c>
      <c r="U184" s="75">
        <f t="shared" ca="1" si="109"/>
        <v>1.484682043029675</v>
      </c>
      <c r="V184" s="75">
        <v>1</v>
      </c>
    </row>
    <row r="185" spans="1:29" ht="16.5" customHeight="1">
      <c r="A185" s="126" t="s">
        <v>15</v>
      </c>
      <c r="B185" s="111" t="s">
        <v>58</v>
      </c>
      <c r="C185" s="171"/>
      <c r="D185" s="30">
        <f t="shared" ref="D185:N185" ca="1" si="119">IF(C141="X","X",IF(D141="X","X",IF(C141&lt;&gt;0,ROUND((D141-C141)/ABS(C141)*100,3),"- ")))</f>
        <v>3.8740000000000001</v>
      </c>
      <c r="E185" s="30">
        <f t="shared" ca="1" si="119"/>
        <v>5.1189999999999998</v>
      </c>
      <c r="F185" s="30">
        <f t="shared" ca="1" si="119"/>
        <v>-1.0489999999999999</v>
      </c>
      <c r="G185" s="30">
        <f t="shared" ca="1" si="119"/>
        <v>0.95599999999999996</v>
      </c>
      <c r="H185" s="30">
        <f t="shared" ca="1" si="119"/>
        <v>-0.42799999999999999</v>
      </c>
      <c r="I185" s="30">
        <f t="shared" ca="1" si="119"/>
        <v>3.1230000000000002</v>
      </c>
      <c r="J185" s="30">
        <f t="shared" ca="1" si="119"/>
        <v>-1.016</v>
      </c>
      <c r="K185" s="30">
        <f t="shared" ca="1" si="119"/>
        <v>-2.367</v>
      </c>
      <c r="L185" s="30">
        <f t="shared" ca="1" si="119"/>
        <v>-6.5679999999999996</v>
      </c>
      <c r="M185" s="30">
        <f t="shared" ca="1" si="119"/>
        <v>5.2770000000000001</v>
      </c>
      <c r="N185" s="30">
        <f t="shared" ca="1" si="119"/>
        <v>4.3140000000000001</v>
      </c>
      <c r="O185" s="30"/>
      <c r="Q185" s="76" t="s">
        <v>66</v>
      </c>
      <c r="R185" s="239">
        <f ca="1">HLOOKUP(コード表!$K$108,地域分析BD!$C$208:$N$227,18,FALSE)</f>
        <v>5.8840128834727095</v>
      </c>
      <c r="S185" s="239">
        <f t="shared" ca="1" si="107"/>
        <v>3.2645658580820678</v>
      </c>
      <c r="U185" s="75">
        <f t="shared" ca="1" si="109"/>
        <v>0.55481963121660272</v>
      </c>
      <c r="V185" s="75">
        <v>1</v>
      </c>
    </row>
    <row r="186" spans="1:29" ht="16.5" customHeight="1">
      <c r="A186" s="126" t="s">
        <v>16</v>
      </c>
      <c r="B186" s="111" t="s">
        <v>59</v>
      </c>
      <c r="C186" s="171"/>
      <c r="D186" s="30">
        <f t="shared" ref="D186:N186" ca="1" si="120">IF(C142="X","X",IF(D142="X","X",IF(C142&lt;&gt;0,ROUND((D142-C142)/ABS(C142)*100,3),"- ")))</f>
        <v>-0.67200000000000004</v>
      </c>
      <c r="E186" s="30">
        <f t="shared" ca="1" si="120"/>
        <v>5.3289999999999997</v>
      </c>
      <c r="F186" s="30">
        <f t="shared" ca="1" si="120"/>
        <v>-1.2849999999999999</v>
      </c>
      <c r="G186" s="30">
        <f t="shared" ca="1" si="120"/>
        <v>6.1310000000000002</v>
      </c>
      <c r="H186" s="30">
        <f t="shared" ca="1" si="120"/>
        <v>7.8769999999999998</v>
      </c>
      <c r="I186" s="30">
        <f t="shared" ca="1" si="120"/>
        <v>1.0740000000000001</v>
      </c>
      <c r="J186" s="30">
        <f t="shared" ca="1" si="120"/>
        <v>1.0740000000000001</v>
      </c>
      <c r="K186" s="30">
        <f t="shared" ca="1" si="120"/>
        <v>-1.742</v>
      </c>
      <c r="L186" s="30">
        <f t="shared" ca="1" si="120"/>
        <v>-32.345999999999997</v>
      </c>
      <c r="M186" s="30">
        <f t="shared" ca="1" si="120"/>
        <v>5.0359999999999996</v>
      </c>
      <c r="N186" s="30">
        <f t="shared" ca="1" si="120"/>
        <v>41.151000000000003</v>
      </c>
      <c r="O186" s="30"/>
      <c r="Q186" s="84" t="s">
        <v>126</v>
      </c>
      <c r="R186" s="239">
        <f ca="1">HLOOKUP(コード表!$K$108,地域分析BD!$C$208:$N$227,19,FALSE)</f>
        <v>12.579877306663859</v>
      </c>
      <c r="S186" s="239">
        <f t="shared" ca="1" si="107"/>
        <v>9.4532799187302174</v>
      </c>
      <c r="U186" s="75">
        <f t="shared" ca="1" si="109"/>
        <v>0.75146042272785851</v>
      </c>
      <c r="V186" s="75">
        <v>1</v>
      </c>
    </row>
    <row r="187" spans="1:29" ht="16.5" customHeight="1">
      <c r="A187" s="18">
        <v>10</v>
      </c>
      <c r="B187" s="111" t="s">
        <v>60</v>
      </c>
      <c r="C187" s="171"/>
      <c r="D187" s="30">
        <f t="shared" ref="D187:N187" ca="1" si="121">IF(C143="X","X",IF(D143="X","X",IF(C143&lt;&gt;0,ROUND((D143-C143)/ABS(C143)*100,3),"- ")))</f>
        <v>-0.54700000000000004</v>
      </c>
      <c r="E187" s="30">
        <f t="shared" ca="1" si="121"/>
        <v>4.508</v>
      </c>
      <c r="F187" s="30">
        <f t="shared" ca="1" si="121"/>
        <v>-0.218</v>
      </c>
      <c r="G187" s="30">
        <f t="shared" ca="1" si="121"/>
        <v>3.3809999999999998</v>
      </c>
      <c r="H187" s="30">
        <f t="shared" ca="1" si="121"/>
        <v>12.952999999999999</v>
      </c>
      <c r="I187" s="30">
        <f t="shared" ca="1" si="121"/>
        <v>5.31</v>
      </c>
      <c r="J187" s="30">
        <f t="shared" ca="1" si="121"/>
        <v>3.0310000000000001</v>
      </c>
      <c r="K187" s="30">
        <f t="shared" ca="1" si="121"/>
        <v>-5.681</v>
      </c>
      <c r="L187" s="30">
        <f t="shared" ca="1" si="121"/>
        <v>-41.639000000000003</v>
      </c>
      <c r="M187" s="30">
        <f t="shared" ca="1" si="121"/>
        <v>-3.4820000000000002</v>
      </c>
      <c r="N187" s="30">
        <f t="shared" ca="1" si="121"/>
        <v>56.401000000000003</v>
      </c>
      <c r="O187" s="30"/>
      <c r="Q187" s="86" t="s">
        <v>125</v>
      </c>
      <c r="R187" s="240">
        <f ca="1">HLOOKUP(コード表!$K$108,地域分析BD!$C$208:$N$227,20,FALSE)</f>
        <v>5.4044912843800219</v>
      </c>
      <c r="S187" s="240">
        <f t="shared" ca="1" si="107"/>
        <v>4.347804252315127</v>
      </c>
      <c r="U187" s="77">
        <f ca="1">IF(S187="X","X",S187/R187)</f>
        <v>0.80447983418551983</v>
      </c>
      <c r="V187" s="77">
        <v>1</v>
      </c>
    </row>
    <row r="188" spans="1:29" ht="16.5" customHeight="1">
      <c r="A188" s="18">
        <v>11</v>
      </c>
      <c r="B188" s="111" t="s">
        <v>61</v>
      </c>
      <c r="C188" s="171"/>
      <c r="D188" s="30">
        <f t="shared" ref="D188:N188" ca="1" si="122">IF(C144="X","X",IF(D144="X","X",IF(C144&lt;&gt;0,ROUND((D144-C144)/ABS(C144)*100,3),"- ")))</f>
        <v>5.6760000000000002</v>
      </c>
      <c r="E188" s="30">
        <f t="shared" ca="1" si="122"/>
        <v>3.383</v>
      </c>
      <c r="F188" s="30">
        <f t="shared" ca="1" si="122"/>
        <v>-1.81</v>
      </c>
      <c r="G188" s="30">
        <f t="shared" ca="1" si="122"/>
        <v>3.3330000000000002</v>
      </c>
      <c r="H188" s="30">
        <f t="shared" ca="1" si="122"/>
        <v>3.0059999999999998</v>
      </c>
      <c r="I188" s="30">
        <f t="shared" ca="1" si="122"/>
        <v>-3.1560000000000001</v>
      </c>
      <c r="J188" s="30">
        <f t="shared" ca="1" si="122"/>
        <v>6.0999999999999999E-2</v>
      </c>
      <c r="K188" s="30">
        <f t="shared" ca="1" si="122"/>
        <v>-7.3230000000000004</v>
      </c>
      <c r="L188" s="30">
        <f t="shared" ca="1" si="122"/>
        <v>-0.44</v>
      </c>
      <c r="M188" s="30">
        <f t="shared" ca="1" si="122"/>
        <v>-4.1459999999999999</v>
      </c>
      <c r="N188" s="30">
        <f t="shared" ca="1" si="122"/>
        <v>-2.3740000000000001</v>
      </c>
      <c r="O188" s="30"/>
      <c r="Q188" s="214"/>
      <c r="R188" s="215">
        <f ca="1">SUM(R170:R187)</f>
        <v>100.68913578974031</v>
      </c>
      <c r="S188" s="215">
        <f ca="1">SUM(S170:S187)</f>
        <v>100.68887045906523</v>
      </c>
      <c r="U188" s="215"/>
      <c r="V188" s="215"/>
    </row>
    <row r="189" spans="1:29" ht="16.5" customHeight="1">
      <c r="A189" s="18">
        <v>12</v>
      </c>
      <c r="B189" s="111" t="s">
        <v>62</v>
      </c>
      <c r="C189" s="171"/>
      <c r="D189" s="30">
        <f t="shared" ref="D189:N189" ca="1" si="123">IF(C145="X","X",IF(D145="X","X",IF(C145&lt;&gt;0,ROUND((D145-C145)/ABS(C145)*100,3),"- ")))</f>
        <v>-3.64</v>
      </c>
      <c r="E189" s="30">
        <f t="shared" ca="1" si="123"/>
        <v>4.0949999999999998</v>
      </c>
      <c r="F189" s="30">
        <f t="shared" ca="1" si="123"/>
        <v>-1.282</v>
      </c>
      <c r="G189" s="30">
        <f t="shared" ca="1" si="123"/>
        <v>3.4940000000000002</v>
      </c>
      <c r="H189" s="30">
        <f t="shared" ca="1" si="123"/>
        <v>-6.2439999999999998</v>
      </c>
      <c r="I189" s="30">
        <f t="shared" ca="1" si="123"/>
        <v>2.6269999999999998</v>
      </c>
      <c r="J189" s="30">
        <f t="shared" ca="1" si="123"/>
        <v>2.9630000000000001</v>
      </c>
      <c r="K189" s="30">
        <f t="shared" ca="1" si="123"/>
        <v>4.444</v>
      </c>
      <c r="L189" s="30">
        <f t="shared" ca="1" si="123"/>
        <v>-1.573</v>
      </c>
      <c r="M189" s="30">
        <f t="shared" ca="1" si="123"/>
        <v>3.6880000000000002</v>
      </c>
      <c r="N189" s="30">
        <f t="shared" ca="1" si="123"/>
        <v>12.836</v>
      </c>
      <c r="O189" s="30"/>
      <c r="Q189" s="332"/>
      <c r="R189" s="333"/>
      <c r="S189" s="333"/>
      <c r="U189" s="331"/>
      <c r="V189" s="331"/>
    </row>
    <row r="190" spans="1:29" ht="16.5" customHeight="1">
      <c r="A190" s="18">
        <v>13</v>
      </c>
      <c r="B190" s="111" t="s">
        <v>63</v>
      </c>
      <c r="C190" s="171"/>
      <c r="D190" s="30">
        <f t="shared" ref="D190:N190" ca="1" si="124">IF(C146="X","X",IF(D146="X","X",IF(C146&lt;&gt;0,ROUND((D146-C146)/ABS(C146)*100,3),"- ")))</f>
        <v>0.36299999999999999</v>
      </c>
      <c r="E190" s="30">
        <f t="shared" ca="1" si="124"/>
        <v>0.35099999999999998</v>
      </c>
      <c r="F190" s="30">
        <f t="shared" ca="1" si="124"/>
        <v>2.9239999999999999</v>
      </c>
      <c r="G190" s="30">
        <f t="shared" ca="1" si="124"/>
        <v>1.1499999999999999</v>
      </c>
      <c r="H190" s="30">
        <f t="shared" ca="1" si="124"/>
        <v>1.49</v>
      </c>
      <c r="I190" s="30">
        <f t="shared" ca="1" si="124"/>
        <v>4.1890000000000001</v>
      </c>
      <c r="J190" s="30">
        <f t="shared" ca="1" si="124"/>
        <v>2.145</v>
      </c>
      <c r="K190" s="30">
        <f t="shared" ca="1" si="124"/>
        <v>2.9039999999999999</v>
      </c>
      <c r="L190" s="30">
        <f t="shared" ca="1" si="124"/>
        <v>2.87</v>
      </c>
      <c r="M190" s="30">
        <f t="shared" ca="1" si="124"/>
        <v>0.88800000000000001</v>
      </c>
      <c r="N190" s="30">
        <f t="shared" ca="1" si="124"/>
        <v>1.4319999999999999</v>
      </c>
      <c r="O190" s="30"/>
      <c r="Q190" s="214"/>
      <c r="R190" s="331"/>
      <c r="S190" s="331"/>
    </row>
    <row r="191" spans="1:29" ht="16.5" customHeight="1">
      <c r="A191" s="18">
        <v>14</v>
      </c>
      <c r="B191" s="111" t="s">
        <v>64</v>
      </c>
      <c r="C191" s="171"/>
      <c r="D191" s="30">
        <f t="shared" ref="D191:N191" ca="1" si="125">IF(C147="X","X",IF(D147="X","X",IF(C147&lt;&gt;0,ROUND((D147-C147)/ABS(C147)*100,3),"- ")))</f>
        <v>4.4240000000000004</v>
      </c>
      <c r="E191" s="30">
        <f t="shared" ca="1" si="125"/>
        <v>4.9560000000000004</v>
      </c>
      <c r="F191" s="30">
        <f t="shared" ca="1" si="125"/>
        <v>2.9529999999999998</v>
      </c>
      <c r="G191" s="30">
        <f t="shared" ca="1" si="125"/>
        <v>9.5340000000000007</v>
      </c>
      <c r="H191" s="30">
        <f t="shared" ca="1" si="125"/>
        <v>7.9850000000000003</v>
      </c>
      <c r="I191" s="30">
        <f t="shared" ca="1" si="125"/>
        <v>-1</v>
      </c>
      <c r="J191" s="30">
        <f t="shared" ca="1" si="125"/>
        <v>0.67600000000000005</v>
      </c>
      <c r="K191" s="30">
        <f t="shared" ca="1" si="125"/>
        <v>-2.1110000000000002</v>
      </c>
      <c r="L191" s="30">
        <f t="shared" ca="1" si="125"/>
        <v>1.6910000000000001</v>
      </c>
      <c r="M191" s="30">
        <f t="shared" ca="1" si="125"/>
        <v>6.1529999999999996</v>
      </c>
      <c r="N191" s="30">
        <f t="shared" ca="1" si="125"/>
        <v>7.6139999999999999</v>
      </c>
      <c r="O191" s="30"/>
    </row>
    <row r="192" spans="1:29" ht="16.5" customHeight="1">
      <c r="A192" s="18">
        <v>15</v>
      </c>
      <c r="B192" s="111" t="s">
        <v>65</v>
      </c>
      <c r="C192" s="171"/>
      <c r="D192" s="30">
        <f t="shared" ref="D192:N192" ca="1" si="126">IF(C148="X","X",IF(D148="X","X",IF(C148&lt;&gt;0,ROUND((D148-C148)/ABS(C148)*100,3),"- ")))</f>
        <v>-0.13100000000000001</v>
      </c>
      <c r="E192" s="30">
        <f t="shared" ca="1" si="126"/>
        <v>-2.827</v>
      </c>
      <c r="F192" s="30">
        <f t="shared" ca="1" si="126"/>
        <v>3.4889999999999999</v>
      </c>
      <c r="G192" s="30">
        <f t="shared" ca="1" si="126"/>
        <v>2.6989999999999998</v>
      </c>
      <c r="H192" s="30">
        <f t="shared" ca="1" si="126"/>
        <v>1.865</v>
      </c>
      <c r="I192" s="30">
        <f t="shared" ca="1" si="126"/>
        <v>2.665</v>
      </c>
      <c r="J192" s="30">
        <f t="shared" ca="1" si="126"/>
        <v>3.2930000000000001</v>
      </c>
      <c r="K192" s="30">
        <f t="shared" ca="1" si="126"/>
        <v>4.5350000000000001</v>
      </c>
      <c r="L192" s="30">
        <f t="shared" ca="1" si="126"/>
        <v>-3.573</v>
      </c>
      <c r="M192" s="30">
        <f t="shared" ca="1" si="126"/>
        <v>1.8540000000000001</v>
      </c>
      <c r="N192" s="30">
        <f t="shared" ca="1" si="126"/>
        <v>3.4969999999999999</v>
      </c>
      <c r="O192" s="30"/>
    </row>
    <row r="193" spans="1:15" ht="16.5" customHeight="1">
      <c r="A193" s="18">
        <v>16</v>
      </c>
      <c r="B193" s="111" t="s">
        <v>66</v>
      </c>
      <c r="C193" s="171"/>
      <c r="D193" s="30">
        <f t="shared" ref="D193:N193" ca="1" si="127">IF(C149="X","X",IF(D149="X","X",IF(C149&lt;&gt;0,ROUND((D149-C149)/ABS(C149)*100,3),"- ")))</f>
        <v>0.54400000000000004</v>
      </c>
      <c r="E193" s="30">
        <f t="shared" ca="1" si="127"/>
        <v>-1.798</v>
      </c>
      <c r="F193" s="30">
        <f t="shared" ca="1" si="127"/>
        <v>3.5</v>
      </c>
      <c r="G193" s="30">
        <f t="shared" ca="1" si="127"/>
        <v>2.6579999999999999</v>
      </c>
      <c r="H193" s="30">
        <f t="shared" ca="1" si="127"/>
        <v>0.88900000000000001</v>
      </c>
      <c r="I193" s="30">
        <f t="shared" ca="1" si="127"/>
        <v>3.032</v>
      </c>
      <c r="J193" s="30">
        <f t="shared" ca="1" si="127"/>
        <v>1.726</v>
      </c>
      <c r="K193" s="30">
        <f t="shared" ca="1" si="127"/>
        <v>1.107</v>
      </c>
      <c r="L193" s="30">
        <f t="shared" ca="1" si="127"/>
        <v>2.9079999999999999</v>
      </c>
      <c r="M193" s="30">
        <f t="shared" ca="1" si="127"/>
        <v>3.544</v>
      </c>
      <c r="N193" s="30">
        <f t="shared" ca="1" si="127"/>
        <v>2.2090000000000001</v>
      </c>
      <c r="O193" s="30"/>
    </row>
    <row r="194" spans="1:15" ht="16.5" customHeight="1">
      <c r="A194" s="18">
        <v>17</v>
      </c>
      <c r="B194" s="111" t="s">
        <v>67</v>
      </c>
      <c r="C194" s="171"/>
      <c r="D194" s="30">
        <f t="shared" ref="D194:N194" ca="1" si="128">IF(C150="X","X",IF(D150="X","X",IF(C150&lt;&gt;0,ROUND((D150-C150)/ABS(C150)*100,3),"- ")))</f>
        <v>5.0780000000000003</v>
      </c>
      <c r="E194" s="30">
        <f t="shared" ca="1" si="128"/>
        <v>3.556</v>
      </c>
      <c r="F194" s="30">
        <f t="shared" ca="1" si="128"/>
        <v>0.85399999999999998</v>
      </c>
      <c r="G194" s="30">
        <f t="shared" ca="1" si="128"/>
        <v>7.18</v>
      </c>
      <c r="H194" s="30">
        <f t="shared" ca="1" si="128"/>
        <v>3.4750000000000001</v>
      </c>
      <c r="I194" s="30">
        <f t="shared" ca="1" si="128"/>
        <v>0.104</v>
      </c>
      <c r="J194" s="30">
        <f t="shared" ca="1" si="128"/>
        <v>2.74</v>
      </c>
      <c r="K194" s="30">
        <f t="shared" ca="1" si="128"/>
        <v>3.3410000000000002</v>
      </c>
      <c r="L194" s="30">
        <f t="shared" ca="1" si="128"/>
        <v>0.60399999999999998</v>
      </c>
      <c r="M194" s="30">
        <f t="shared" ca="1" si="128"/>
        <v>3.3370000000000002</v>
      </c>
      <c r="N194" s="30">
        <f t="shared" ca="1" si="128"/>
        <v>2.202</v>
      </c>
      <c r="O194" s="30"/>
    </row>
    <row r="195" spans="1:15" ht="16.5" customHeight="1">
      <c r="A195" s="18">
        <v>18</v>
      </c>
      <c r="B195" s="111" t="s">
        <v>68</v>
      </c>
      <c r="C195" s="171"/>
      <c r="D195" s="30">
        <f t="shared" ref="D195:N195" ca="1" si="129">IF(C151="X","X",IF(D151="X","X",IF(C151&lt;&gt;0,ROUND((D151-C151)/ABS(C151)*100,3),"- ")))</f>
        <v>3.161</v>
      </c>
      <c r="E195" s="30">
        <f t="shared" ca="1" si="129"/>
        <v>-2.028</v>
      </c>
      <c r="F195" s="30">
        <f t="shared" ca="1" si="129"/>
        <v>-1.02</v>
      </c>
      <c r="G195" s="30">
        <f t="shared" ca="1" si="129"/>
        <v>3.214</v>
      </c>
      <c r="H195" s="30">
        <f t="shared" ca="1" si="129"/>
        <v>1.0189999999999999</v>
      </c>
      <c r="I195" s="30">
        <f t="shared" ca="1" si="129"/>
        <v>1.875</v>
      </c>
      <c r="J195" s="30">
        <f t="shared" ca="1" si="129"/>
        <v>-0.376</v>
      </c>
      <c r="K195" s="30">
        <f t="shared" ca="1" si="129"/>
        <v>-1.639</v>
      </c>
      <c r="L195" s="30">
        <f t="shared" ca="1" si="129"/>
        <v>-8.3670000000000009</v>
      </c>
      <c r="M195" s="30">
        <f t="shared" ca="1" si="129"/>
        <v>9.3979999999999997</v>
      </c>
      <c r="N195" s="30">
        <f t="shared" ca="1" si="129"/>
        <v>6.806</v>
      </c>
      <c r="O195" s="30"/>
    </row>
    <row r="196" spans="1:15" ht="15.75" customHeight="1">
      <c r="A196" s="33">
        <v>19</v>
      </c>
      <c r="B196" s="110" t="s">
        <v>70</v>
      </c>
      <c r="C196" s="172"/>
      <c r="D196" s="29">
        <f t="shared" ref="D196:N196" ca="1" si="130">IF(C152="X","X",IF(D152="X","X",IF(C152&lt;&gt;0,ROUND((D152-C152)/ABS(C152)*100,3),"- ")))</f>
        <v>0.495</v>
      </c>
      <c r="E196" s="29">
        <f t="shared" ca="1" si="130"/>
        <v>3.5489999999999999</v>
      </c>
      <c r="F196" s="29">
        <f t="shared" ca="1" si="130"/>
        <v>1.8819999999999999</v>
      </c>
      <c r="G196" s="29">
        <f t="shared" ca="1" si="130"/>
        <v>5.3410000000000002</v>
      </c>
      <c r="H196" s="29">
        <f t="shared" ca="1" si="130"/>
        <v>3.6749999999999998</v>
      </c>
      <c r="I196" s="29">
        <f t="shared" ca="1" si="130"/>
        <v>2.0950000000000002</v>
      </c>
      <c r="J196" s="29">
        <f t="shared" ca="1" si="130"/>
        <v>1.246</v>
      </c>
      <c r="K196" s="29">
        <f t="shared" ca="1" si="130"/>
        <v>0.73199999999999998</v>
      </c>
      <c r="L196" s="29">
        <f t="shared" ca="1" si="130"/>
        <v>-6.1749999999999998</v>
      </c>
      <c r="M196" s="29">
        <f t="shared" ca="1" si="130"/>
        <v>4.1260000000000003</v>
      </c>
      <c r="N196" s="29">
        <f t="shared" ca="1" si="130"/>
        <v>1.9890000000000001</v>
      </c>
    </row>
    <row r="197" spans="1:15" ht="15.75" customHeight="1" thickBot="1">
      <c r="A197" s="71">
        <v>20</v>
      </c>
      <c r="B197" s="113" t="s">
        <v>100</v>
      </c>
      <c r="C197" s="173"/>
      <c r="D197" s="174">
        <f t="shared" ref="D197:N197" ca="1" si="131">IF(C153="X","X",IF(D153="X","X",IF(C153&lt;&gt;0,ROUND((D153-C153)/ABS(C153)*100,3),"- ")))</f>
        <v>-5.319</v>
      </c>
      <c r="E197" s="174">
        <f t="shared" ca="1" si="131"/>
        <v>-45.286999999999999</v>
      </c>
      <c r="F197" s="174">
        <f t="shared" ca="1" si="131"/>
        <v>-245.441</v>
      </c>
      <c r="G197" s="174">
        <f t="shared" ca="1" si="131"/>
        <v>-442.52699999999999</v>
      </c>
      <c r="H197" s="174">
        <f t="shared" ca="1" si="131"/>
        <v>-39.145000000000003</v>
      </c>
      <c r="I197" s="174">
        <f t="shared" ca="1" si="131"/>
        <v>-7.0190000000000001</v>
      </c>
      <c r="J197" s="174">
        <f t="shared" ca="1" si="131"/>
        <v>-6.9260000000000002</v>
      </c>
      <c r="K197" s="174">
        <f t="shared" ca="1" si="131"/>
        <v>-26.547999999999998</v>
      </c>
      <c r="L197" s="174">
        <f t="shared" ca="1" si="131"/>
        <v>12.19</v>
      </c>
      <c r="M197" s="174">
        <f t="shared" ca="1" si="131"/>
        <v>-18.488</v>
      </c>
      <c r="N197" s="174">
        <f t="shared" ca="1" si="131"/>
        <v>10.814</v>
      </c>
    </row>
    <row r="198" spans="1:15" ht="15.75" customHeight="1" thickTop="1">
      <c r="A198" s="18">
        <v>21</v>
      </c>
      <c r="B198" s="111" t="s">
        <v>119</v>
      </c>
      <c r="C198" s="171"/>
      <c r="D198" s="30">
        <f t="shared" ref="D198:N198" ca="1" si="132">IF(C154="X","X",IF(D154="X","X",IF(C154&lt;&gt;0,ROUND((D154-C154)/ABS(C154)*100,3),"- ")))</f>
        <v>0.48899999999999999</v>
      </c>
      <c r="E198" s="30">
        <f t="shared" ca="1" si="132"/>
        <v>3.5</v>
      </c>
      <c r="F198" s="30">
        <f t="shared" ca="1" si="132"/>
        <v>1.75</v>
      </c>
      <c r="G198" s="30">
        <f t="shared" ca="1" si="132"/>
        <v>5.0069999999999997</v>
      </c>
      <c r="H198" s="30">
        <f t="shared" ca="1" si="132"/>
        <v>3.5350000000000001</v>
      </c>
      <c r="I198" s="30">
        <f t="shared" ca="1" si="132"/>
        <v>2.069</v>
      </c>
      <c r="J198" s="30">
        <f t="shared" ca="1" si="132"/>
        <v>1.214</v>
      </c>
      <c r="K198" s="30">
        <f t="shared" ca="1" si="132"/>
        <v>0.57999999999999996</v>
      </c>
      <c r="L198" s="30">
        <f t="shared" ca="1" si="132"/>
        <v>-6.1310000000000002</v>
      </c>
      <c r="M198" s="30">
        <f t="shared" ca="1" si="132"/>
        <v>4.0259999999999998</v>
      </c>
      <c r="N198" s="30">
        <f t="shared" ca="1" si="132"/>
        <v>2.09</v>
      </c>
    </row>
    <row r="199" spans="1:15" ht="15.75" customHeight="1">
      <c r="A199" s="127" t="s">
        <v>146</v>
      </c>
      <c r="B199" s="128" t="s">
        <v>72</v>
      </c>
      <c r="C199" s="170"/>
      <c r="D199" s="31">
        <f t="shared" ref="D199:N199" ca="1" si="133">IF(C155="X","X",IF(D155="X","X",IF(C155&lt;&gt;0,ROUND((D155-C155)/ABS(C155)*100,3),"- ")))</f>
        <v>11.765000000000001</v>
      </c>
      <c r="E199" s="31">
        <f t="shared" ca="1" si="133"/>
        <v>-5.7889999999999997</v>
      </c>
      <c r="F199" s="31">
        <f t="shared" ca="1" si="133"/>
        <v>8.0549999999999997</v>
      </c>
      <c r="G199" s="31">
        <f t="shared" ca="1" si="133"/>
        <v>-0.51700000000000002</v>
      </c>
      <c r="H199" s="31">
        <f t="shared" ca="1" si="133"/>
        <v>30.254000000000001</v>
      </c>
      <c r="I199" s="31">
        <f t="shared" ca="1" si="133"/>
        <v>-16.238</v>
      </c>
      <c r="J199" s="31">
        <f t="shared" ca="1" si="133"/>
        <v>-6.7539999999999996</v>
      </c>
      <c r="K199" s="31">
        <f t="shared" ca="1" si="133"/>
        <v>-4.6580000000000004</v>
      </c>
      <c r="L199" s="31">
        <f t="shared" ca="1" si="133"/>
        <v>-19.346</v>
      </c>
      <c r="M199" s="31">
        <f t="shared" ca="1" si="133"/>
        <v>15.076000000000001</v>
      </c>
      <c r="N199" s="31">
        <f t="shared" ca="1" si="133"/>
        <v>-17.808</v>
      </c>
    </row>
    <row r="200" spans="1:15" ht="15.75" customHeight="1">
      <c r="A200" s="130" t="s">
        <v>147</v>
      </c>
      <c r="B200" s="111" t="s">
        <v>73</v>
      </c>
      <c r="C200" s="171"/>
      <c r="D200" s="30">
        <f t="shared" ref="D200:N200" ca="1" si="134">IF(C156="X","X",IF(D156="X","X",IF(C156&lt;&gt;0,ROUND((D156-C156)/ABS(C156)*100,3),"- ")))</f>
        <v>-9.9079999999999995</v>
      </c>
      <c r="E200" s="30">
        <f t="shared" ca="1" si="134"/>
        <v>14.882</v>
      </c>
      <c r="F200" s="30">
        <f t="shared" ca="1" si="134"/>
        <v>5.0199999999999996</v>
      </c>
      <c r="G200" s="30">
        <f t="shared" ca="1" si="134"/>
        <v>14.912000000000001</v>
      </c>
      <c r="H200" s="30">
        <f t="shared" ca="1" si="134"/>
        <v>5.3620000000000001</v>
      </c>
      <c r="I200" s="30">
        <f t="shared" ca="1" si="134"/>
        <v>6.1589999999999998</v>
      </c>
      <c r="J200" s="30">
        <f t="shared" ca="1" si="134"/>
        <v>1.5269999999999999</v>
      </c>
      <c r="K200" s="30">
        <f t="shared" ca="1" si="134"/>
        <v>2.2839999999999998</v>
      </c>
      <c r="L200" s="30">
        <f t="shared" ca="1" si="134"/>
        <v>-10.11</v>
      </c>
      <c r="M200" s="30">
        <f t="shared" ca="1" si="134"/>
        <v>10.515000000000001</v>
      </c>
      <c r="N200" s="30">
        <f t="shared" ca="1" si="134"/>
        <v>-11.573</v>
      </c>
    </row>
    <row r="201" spans="1:15" ht="15.75" customHeight="1">
      <c r="A201" s="131" t="s">
        <v>148</v>
      </c>
      <c r="B201" s="112" t="s">
        <v>74</v>
      </c>
      <c r="C201" s="175"/>
      <c r="D201" s="32">
        <f t="shared" ref="D201:N201" ca="1" si="135">IF(C157="X","X",IF(D157="X","X",IF(C157&lt;&gt;0,ROUND((D157-C157)/ABS(C157)*100,3),"- ")))</f>
        <v>1.8029999999999999</v>
      </c>
      <c r="E201" s="32">
        <f t="shared" ca="1" si="135"/>
        <v>2.278</v>
      </c>
      <c r="F201" s="32">
        <f t="shared" ca="1" si="135"/>
        <v>1.333</v>
      </c>
      <c r="G201" s="32">
        <f t="shared" ca="1" si="135"/>
        <v>4.03</v>
      </c>
      <c r="H201" s="32">
        <f t="shared" ca="1" si="135"/>
        <v>2.952</v>
      </c>
      <c r="I201" s="32">
        <f t="shared" ca="1" si="135"/>
        <v>1.806</v>
      </c>
      <c r="J201" s="32">
        <f t="shared" ca="1" si="135"/>
        <v>1.337</v>
      </c>
      <c r="K201" s="32">
        <f t="shared" ca="1" si="135"/>
        <v>0.54800000000000004</v>
      </c>
      <c r="L201" s="32">
        <f t="shared" ca="1" si="135"/>
        <v>-5.2750000000000004</v>
      </c>
      <c r="M201" s="32">
        <f t="shared" ca="1" si="135"/>
        <v>2.907</v>
      </c>
      <c r="N201" s="32">
        <f t="shared" ca="1" si="135"/>
        <v>4.7320000000000002</v>
      </c>
    </row>
    <row r="202" spans="1:15" ht="15.75" customHeight="1">
      <c r="A202" s="127"/>
      <c r="B202" s="299" t="s">
        <v>279</v>
      </c>
      <c r="C202" s="303"/>
      <c r="D202" s="31">
        <f t="shared" ref="D202:N202" ca="1" si="136">IF(C158="X","X",IF(D158="X","X",IF(C158&lt;&gt;0,ROUND((D158-C158)/ABS(C158)*100,3),"- ")))</f>
        <v>-1.5820000000000001</v>
      </c>
      <c r="E202" s="31">
        <f t="shared" ca="1" si="136"/>
        <v>2.3849999999999998</v>
      </c>
      <c r="F202" s="31">
        <f t="shared" ca="1" si="136"/>
        <v>-0.40500000000000003</v>
      </c>
      <c r="G202" s="31">
        <f t="shared" ca="1" si="136"/>
        <v>3.306</v>
      </c>
      <c r="H202" s="31">
        <f t="shared" ca="1" si="136"/>
        <v>0.55800000000000005</v>
      </c>
      <c r="I202" s="31">
        <f t="shared" ca="1" si="136"/>
        <v>0.84899999999999998</v>
      </c>
      <c r="J202" s="31">
        <f t="shared" ca="1" si="136"/>
        <v>-4.9000000000000002E-2</v>
      </c>
      <c r="K202" s="31">
        <f t="shared" ca="1" si="136"/>
        <v>-2.105</v>
      </c>
      <c r="L202" s="31">
        <f t="shared" ca="1" si="136"/>
        <v>-5.1929999999999996</v>
      </c>
      <c r="M202" s="31">
        <f t="shared" ca="1" si="136"/>
        <v>3.14</v>
      </c>
      <c r="N202" s="31">
        <f t="shared" ca="1" si="136"/>
        <v>2.96</v>
      </c>
    </row>
    <row r="203" spans="1:15" ht="15.75" customHeight="1">
      <c r="A203" s="131"/>
      <c r="B203" s="301" t="s">
        <v>280</v>
      </c>
      <c r="C203" s="304"/>
      <c r="D203" s="32">
        <f t="shared" ref="D203:N203" ca="1" si="137">IF(C159="X","X",IF(D159="X","X",IF(C159&lt;&gt;0,ROUND((D159-C159)/ABS(C159)*100,3),"- ")))</f>
        <v>0.83299999999999996</v>
      </c>
      <c r="E203" s="32">
        <f t="shared" ca="1" si="137"/>
        <v>4.1379999999999999</v>
      </c>
      <c r="F203" s="32">
        <f t="shared" ca="1" si="137"/>
        <v>-0.61399999999999999</v>
      </c>
      <c r="G203" s="32">
        <f t="shared" ca="1" si="137"/>
        <v>3.8079999999999998</v>
      </c>
      <c r="H203" s="32">
        <f t="shared" ca="1" si="137"/>
        <v>2.4350000000000001</v>
      </c>
      <c r="I203" s="32">
        <f t="shared" ca="1" si="137"/>
        <v>1.895</v>
      </c>
      <c r="J203" s="32">
        <f t="shared" ca="1" si="137"/>
        <v>0.76300000000000001</v>
      </c>
      <c r="K203" s="32">
        <f t="shared" ca="1" si="137"/>
        <v>-0.23599999999999999</v>
      </c>
      <c r="L203" s="32">
        <f t="shared" ca="1" si="137"/>
        <v>-6.68</v>
      </c>
      <c r="M203" s="32">
        <f t="shared" ca="1" si="137"/>
        <v>3.7</v>
      </c>
      <c r="N203" s="32">
        <f t="shared" ca="1" si="137"/>
        <v>2.7440000000000002</v>
      </c>
    </row>
    <row r="204" spans="1:15" ht="15.75" customHeight="1">
      <c r="B204" s="25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</row>
    <row r="205" spans="1:15" ht="15.75" customHeight="1">
      <c r="A205" s="209" t="s">
        <v>246</v>
      </c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5" ht="15.75" customHeight="1">
      <c r="A206" s="213"/>
      <c r="B206" s="208" t="str">
        <f>B$130</f>
        <v>沖 縄 県</v>
      </c>
      <c r="C206" s="210" t="s">
        <v>245</v>
      </c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</row>
    <row r="207" spans="1:15" ht="15.75" customHeight="1">
      <c r="A207" s="34" t="s">
        <v>271</v>
      </c>
      <c r="B207" s="108"/>
      <c r="C207" s="109"/>
      <c r="D207" s="109"/>
      <c r="E207" s="109"/>
      <c r="F207" s="2"/>
      <c r="G207" s="2"/>
      <c r="H207" s="1"/>
      <c r="I207" s="2"/>
      <c r="J207" s="2"/>
      <c r="K207" s="2"/>
      <c r="L207" s="2"/>
      <c r="M207" s="2"/>
      <c r="N207" s="2"/>
    </row>
    <row r="208" spans="1:15" ht="15.75" customHeight="1">
      <c r="A208" s="6"/>
      <c r="B208" s="7"/>
      <c r="C208" s="27">
        <f>C$4</f>
        <v>23</v>
      </c>
      <c r="D208" s="27">
        <f t="shared" ref="D208:N208" si="138">D$4</f>
        <v>24</v>
      </c>
      <c r="E208" s="27">
        <f t="shared" si="138"/>
        <v>25</v>
      </c>
      <c r="F208" s="27">
        <f t="shared" si="138"/>
        <v>26</v>
      </c>
      <c r="G208" s="27">
        <f t="shared" si="138"/>
        <v>27</v>
      </c>
      <c r="H208" s="27">
        <f t="shared" si="138"/>
        <v>28</v>
      </c>
      <c r="I208" s="27">
        <f t="shared" si="138"/>
        <v>29</v>
      </c>
      <c r="J208" s="27">
        <f t="shared" si="138"/>
        <v>30</v>
      </c>
      <c r="K208" s="27">
        <f t="shared" si="138"/>
        <v>1</v>
      </c>
      <c r="L208" s="27">
        <f t="shared" si="138"/>
        <v>2</v>
      </c>
      <c r="M208" s="27">
        <f t="shared" si="138"/>
        <v>3</v>
      </c>
      <c r="N208" s="27">
        <f t="shared" si="138"/>
        <v>4</v>
      </c>
    </row>
    <row r="209" spans="1:14" ht="15.75" customHeight="1">
      <c r="A209" s="12"/>
      <c r="B209" s="13"/>
      <c r="C209" s="28">
        <f>C$5</f>
        <v>2011</v>
      </c>
      <c r="D209" s="28">
        <f t="shared" ref="D209:N209" si="139">D$5</f>
        <v>2012</v>
      </c>
      <c r="E209" s="28">
        <f t="shared" si="139"/>
        <v>2013</v>
      </c>
      <c r="F209" s="28">
        <f t="shared" si="139"/>
        <v>2014</v>
      </c>
      <c r="G209" s="28">
        <f t="shared" si="139"/>
        <v>2015</v>
      </c>
      <c r="H209" s="28">
        <f t="shared" si="139"/>
        <v>2016</v>
      </c>
      <c r="I209" s="28">
        <f t="shared" si="139"/>
        <v>2017</v>
      </c>
      <c r="J209" s="28">
        <f t="shared" si="139"/>
        <v>2018</v>
      </c>
      <c r="K209" s="28">
        <f t="shared" si="139"/>
        <v>2019</v>
      </c>
      <c r="L209" s="28">
        <f t="shared" si="139"/>
        <v>2020</v>
      </c>
      <c r="M209" s="28">
        <f t="shared" si="139"/>
        <v>2021</v>
      </c>
      <c r="N209" s="28">
        <f t="shared" si="139"/>
        <v>2022</v>
      </c>
    </row>
    <row r="210" spans="1:14" ht="15.75" customHeight="1">
      <c r="A210" s="126" t="s">
        <v>159</v>
      </c>
      <c r="B210" s="23" t="s">
        <v>51</v>
      </c>
      <c r="C210" s="53">
        <f t="shared" ref="C210:N210" ca="1" si="140">IF(C134="X","X",IF(C134=0,"-",C134/C$154*100))</f>
        <v>1.2019086293006065</v>
      </c>
      <c r="D210" s="31">
        <f t="shared" ca="1" si="140"/>
        <v>1.3366305840471973</v>
      </c>
      <c r="E210" s="31">
        <f t="shared" ca="1" si="140"/>
        <v>1.2095010541687887</v>
      </c>
      <c r="F210" s="31">
        <f t="shared" ca="1" si="140"/>
        <v>1.276136992954074</v>
      </c>
      <c r="G210" s="31">
        <f t="shared" ca="1" si="140"/>
        <v>1.164330529776761</v>
      </c>
      <c r="H210" s="31">
        <f t="shared" ca="1" si="140"/>
        <v>1.5444191142993198</v>
      </c>
      <c r="I210" s="31">
        <f t="shared" ca="1" si="140"/>
        <v>1.2142266049832879</v>
      </c>
      <c r="J210" s="31">
        <f t="shared" ca="1" si="140"/>
        <v>1.1026399262494511</v>
      </c>
      <c r="K210" s="31">
        <f t="shared" ca="1" si="140"/>
        <v>1.0488664372795031</v>
      </c>
      <c r="L210" s="31">
        <f t="shared" ca="1" si="140"/>
        <v>0.89516334243508899</v>
      </c>
      <c r="M210" s="31">
        <f t="shared" ca="1" si="140"/>
        <v>1.0307145805702842</v>
      </c>
      <c r="N210" s="31">
        <f t="shared" ca="1" si="140"/>
        <v>0.80124979547374997</v>
      </c>
    </row>
    <row r="211" spans="1:14" ht="15.75" customHeight="1">
      <c r="A211" s="126" t="s">
        <v>3</v>
      </c>
      <c r="B211" s="111" t="s">
        <v>52</v>
      </c>
      <c r="C211" s="54">
        <f t="shared" ref="C211:N211" ca="1" si="141">IF(C135="X","X",IF(C135=0,"-",C135/C$154*100))</f>
        <v>8.4142953268072241E-3</v>
      </c>
      <c r="D211" s="30">
        <f t="shared" ca="1" si="141"/>
        <v>7.7885719055312682E-3</v>
      </c>
      <c r="E211" s="30">
        <f t="shared" ca="1" si="141"/>
        <v>8.192955137278227E-3</v>
      </c>
      <c r="F211" s="30">
        <f t="shared" ca="1" si="141"/>
        <v>9.1121991901501418E-3</v>
      </c>
      <c r="G211" s="30">
        <f t="shared" ca="1" si="141"/>
        <v>8.4133139009820255E-3</v>
      </c>
      <c r="H211" s="30">
        <f t="shared" ca="1" si="141"/>
        <v>8.2189471807269862E-3</v>
      </c>
      <c r="I211" s="30">
        <f t="shared" ca="1" si="141"/>
        <v>7.4382184306769411E-3</v>
      </c>
      <c r="J211" s="30">
        <f t="shared" ca="1" si="141"/>
        <v>7.2366152956876515E-3</v>
      </c>
      <c r="K211" s="30">
        <f t="shared" ca="1" si="141"/>
        <v>8.7142990251380722E-3</v>
      </c>
      <c r="L211" s="30">
        <f t="shared" ca="1" si="141"/>
        <v>9.9737659011940195E-3</v>
      </c>
      <c r="M211" s="30">
        <f t="shared" ca="1" si="141"/>
        <v>9.7250176880909946E-3</v>
      </c>
      <c r="N211" s="30">
        <f t="shared" ca="1" si="141"/>
        <v>8.1586361629306537E-3</v>
      </c>
    </row>
    <row r="212" spans="1:14" ht="15.75" customHeight="1">
      <c r="A212" s="126" t="s">
        <v>5</v>
      </c>
      <c r="B212" s="111" t="s">
        <v>53</v>
      </c>
      <c r="C212" s="54">
        <f t="shared" ref="C212:G221" ca="1" si="142">IF(C136="X","X",IF(C136=0,"-",C136/C$154*100))</f>
        <v>0.19713491908519781</v>
      </c>
      <c r="D212" s="30">
        <f t="shared" ca="1" si="142"/>
        <v>0.22097746843235985</v>
      </c>
      <c r="E212" s="30">
        <f t="shared" ca="1" si="142"/>
        <v>0.20721242021178918</v>
      </c>
      <c r="F212" s="30">
        <f t="shared" ca="1" si="142"/>
        <v>0.22795642904777264</v>
      </c>
      <c r="G212" s="30">
        <f t="shared" ca="1" si="142"/>
        <v>0.26086080700987696</v>
      </c>
      <c r="H212" s="30">
        <f t="shared" ref="H212:K212" ca="1" si="143">IF(H136="X","X",IF(H136=0,"-",H136/H$154*100))</f>
        <v>0.25093328002626347</v>
      </c>
      <c r="I212" s="30">
        <f t="shared" ca="1" si="143"/>
        <v>0.25842691006397778</v>
      </c>
      <c r="J212" s="30">
        <f t="shared" ca="1" si="143"/>
        <v>0.25368606663888887</v>
      </c>
      <c r="K212" s="30">
        <f t="shared" ca="1" si="143"/>
        <v>0.23497325268808195</v>
      </c>
      <c r="L212" s="30">
        <f t="shared" ref="L212" ca="1" si="144">IF(L136="X","X",IF(L136=0,"-",L136/L$154*100))</f>
        <v>0.20545005606970304</v>
      </c>
      <c r="M212" s="30">
        <f t="shared" ref="M212:N212" ca="1" si="145">IF(M136="X","X",IF(M136=0,"-",M136/M$154*100))</f>
        <v>0.18811616567952016</v>
      </c>
      <c r="N212" s="30">
        <f t="shared" ca="1" si="145"/>
        <v>0.17969172010498641</v>
      </c>
    </row>
    <row r="213" spans="1:14" ht="15.75" customHeight="1">
      <c r="A213" s="126" t="s">
        <v>7</v>
      </c>
      <c r="B213" s="23" t="s">
        <v>54</v>
      </c>
      <c r="C213" s="54">
        <f t="shared" ca="1" si="142"/>
        <v>8.5772388236120628E-2</v>
      </c>
      <c r="D213" s="30">
        <f t="shared" ca="1" si="142"/>
        <v>8.5142647827360585E-2</v>
      </c>
      <c r="E213" s="30">
        <f t="shared" ca="1" si="142"/>
        <v>9.9856456344005501E-2</v>
      </c>
      <c r="F213" s="30">
        <f t="shared" ca="1" si="142"/>
        <v>0.11376366135735926</v>
      </c>
      <c r="G213" s="30">
        <f t="shared" ca="1" si="142"/>
        <v>0.13677644599025066</v>
      </c>
      <c r="H213" s="30">
        <f t="shared" ref="H213:K213" ca="1" si="146">IF(H137="X","X",IF(H137=0,"-",H137/H$154*100))</f>
        <v>0.1424849684975184</v>
      </c>
      <c r="I213" s="30">
        <f t="shared" ca="1" si="146"/>
        <v>0.1608429434963812</v>
      </c>
      <c r="J213" s="30">
        <f t="shared" ca="1" si="146"/>
        <v>0.17077962618611944</v>
      </c>
      <c r="K213" s="30">
        <f t="shared" ca="1" si="146"/>
        <v>0.18161492942646729</v>
      </c>
      <c r="L213" s="30">
        <f t="shared" ref="L213" ca="1" si="147">IF(L137="X","X",IF(L137=0,"-",L137/L$154*100))</f>
        <v>0.20664024293142072</v>
      </c>
      <c r="M213" s="30">
        <f t="shared" ref="M213:N213" ca="1" si="148">IF(M137="X","X",IF(M137=0,"-",M137/M$154*100))</f>
        <v>0.20072436508219815</v>
      </c>
      <c r="N213" s="30">
        <f t="shared" ca="1" si="148"/>
        <v>0.24074700831329165</v>
      </c>
    </row>
    <row r="214" spans="1:14" ht="15.75" customHeight="1">
      <c r="A214" s="126" t="s">
        <v>9</v>
      </c>
      <c r="B214" s="111" t="s">
        <v>55</v>
      </c>
      <c r="C214" s="54">
        <f t="shared" ca="1" si="142"/>
        <v>5.459835897200283</v>
      </c>
      <c r="D214" s="30">
        <f t="shared" ca="1" si="142"/>
        <v>4.3422750391953899</v>
      </c>
      <c r="E214" s="30">
        <f t="shared" ca="1" si="142"/>
        <v>4.4192902743458546</v>
      </c>
      <c r="F214" s="30">
        <f t="shared" ca="1" si="142"/>
        <v>4.1986035365429473</v>
      </c>
      <c r="G214" s="30">
        <f t="shared" ca="1" si="142"/>
        <v>4.5317473996249591</v>
      </c>
      <c r="H214" s="30">
        <f t="shared" ref="H214:K214" ca="1" si="149">IF(H138="X","X",IF(H138=0,"-",H138/H$154*100))</f>
        <v>4.4686462256342461</v>
      </c>
      <c r="I214" s="30">
        <f t="shared" ca="1" si="149"/>
        <v>4.357544923882231</v>
      </c>
      <c r="J214" s="30">
        <f t="shared" ca="1" si="149"/>
        <v>4.3438345161378766</v>
      </c>
      <c r="K214" s="30">
        <f t="shared" ca="1" si="149"/>
        <v>4.2327361357178335</v>
      </c>
      <c r="L214" s="30">
        <f t="shared" ref="L214" ca="1" si="150">IF(L138="X","X",IF(L138=0,"-",L138/L$154*100))</f>
        <v>4.8726250118721142</v>
      </c>
      <c r="M214" s="30">
        <f t="shared" ref="M214:N214" ca="1" si="151">IF(M138="X","X",IF(M138=0,"-",M138/M$154*100))</f>
        <v>4.2795798426240435</v>
      </c>
      <c r="N214" s="30">
        <f t="shared" ca="1" si="151"/>
        <v>4.0356335158566683</v>
      </c>
    </row>
    <row r="215" spans="1:14" ht="15.75" customHeight="1">
      <c r="A215" s="126" t="s">
        <v>11</v>
      </c>
      <c r="B215" s="111" t="s">
        <v>57</v>
      </c>
      <c r="C215" s="54">
        <f t="shared" ca="1" si="142"/>
        <v>6.8107443339070191</v>
      </c>
      <c r="D215" s="30">
        <f t="shared" ca="1" si="142"/>
        <v>6.650483449683434</v>
      </c>
      <c r="E215" s="30">
        <f t="shared" ca="1" si="142"/>
        <v>7.7770149854029276</v>
      </c>
      <c r="F215" s="30">
        <f t="shared" ca="1" si="142"/>
        <v>8.3789826747055951</v>
      </c>
      <c r="G215" s="30">
        <f t="shared" ca="1" si="142"/>
        <v>9.2200064758478995</v>
      </c>
      <c r="H215" s="30">
        <f t="shared" ref="H215:K215" ca="1" si="152">IF(H139="X","X",IF(H139=0,"-",H139/H$154*100))</f>
        <v>9.5224861340092382</v>
      </c>
      <c r="I215" s="30">
        <f t="shared" ca="1" si="152"/>
        <v>10.18162446141157</v>
      </c>
      <c r="J215" s="30">
        <f t="shared" ca="1" si="152"/>
        <v>10.23077611125869</v>
      </c>
      <c r="K215" s="30">
        <f t="shared" ca="1" si="152"/>
        <v>10.580901876322645</v>
      </c>
      <c r="L215" s="30">
        <f t="shared" ref="L215" ca="1" si="153">IF(L139="X","X",IF(L139=0,"-",L139/L$154*100))</f>
        <v>9.2803392318200739</v>
      </c>
      <c r="M215" s="30">
        <f t="shared" ref="M215:N215" ca="1" si="154">IF(M139="X","X",IF(M139=0,"-",M139/M$154*100))</f>
        <v>10.774999244880981</v>
      </c>
      <c r="N215" s="30">
        <f t="shared" ca="1" si="154"/>
        <v>8.9372031567646069</v>
      </c>
    </row>
    <row r="216" spans="1:14" ht="15.75" customHeight="1">
      <c r="A216" s="126" t="s">
        <v>13</v>
      </c>
      <c r="B216" s="111" t="s">
        <v>56</v>
      </c>
      <c r="C216" s="54">
        <f t="shared" ca="1" si="142"/>
        <v>3.7800220053856832</v>
      </c>
      <c r="D216" s="30">
        <f t="shared" ca="1" si="142"/>
        <v>3.6840476756296385</v>
      </c>
      <c r="E216" s="30">
        <f t="shared" ca="1" si="142"/>
        <v>3.7791610773504853</v>
      </c>
      <c r="F216" s="30">
        <f t="shared" ca="1" si="142"/>
        <v>4.0311258589068091</v>
      </c>
      <c r="G216" s="30">
        <f t="shared" ca="1" si="142"/>
        <v>3.9931270436840895</v>
      </c>
      <c r="H216" s="30">
        <f t="shared" ref="H216:K216" ca="1" si="155">IF(H140="X","X",IF(H140=0,"-",H140/H$154*100))</f>
        <v>3.8723082077331932</v>
      </c>
      <c r="I216" s="30">
        <f t="shared" ca="1" si="155"/>
        <v>3.8961479127267231</v>
      </c>
      <c r="J216" s="30">
        <f t="shared" ca="1" si="155"/>
        <v>3.7768389655325856</v>
      </c>
      <c r="K216" s="30">
        <f t="shared" ca="1" si="155"/>
        <v>4.0675219639438058</v>
      </c>
      <c r="L216" s="30">
        <f t="shared" ref="L216" ca="1" si="156">IF(L140="X","X",IF(L140=0,"-",L140/L$154*100))</f>
        <v>4.4296612656780336</v>
      </c>
      <c r="M216" s="30">
        <f t="shared" ref="M216:N216" ca="1" si="157">IF(M140="X","X",IF(M140=0,"-",M140/M$154*100))</f>
        <v>4.1509350204065196</v>
      </c>
      <c r="N216" s="30">
        <f t="shared" ca="1" si="157"/>
        <v>1.9819210001950003</v>
      </c>
    </row>
    <row r="217" spans="1:14" ht="15.75" customHeight="1">
      <c r="A217" s="126" t="s">
        <v>15</v>
      </c>
      <c r="B217" s="111" t="s">
        <v>58</v>
      </c>
      <c r="C217" s="54">
        <f t="shared" ca="1" si="142"/>
        <v>10.134951941017659</v>
      </c>
      <c r="D217" s="30">
        <f t="shared" ca="1" si="142"/>
        <v>10.476426677639781</v>
      </c>
      <c r="E217" s="30">
        <f t="shared" ca="1" si="142"/>
        <v>10.640285864789529</v>
      </c>
      <c r="F217" s="30">
        <f t="shared" ca="1" si="142"/>
        <v>10.347596323013073</v>
      </c>
      <c r="G217" s="30">
        <f t="shared" ca="1" si="142"/>
        <v>9.9484311933949225</v>
      </c>
      <c r="H217" s="30">
        <f t="shared" ref="H217:K217" ca="1" si="158">IF(H141="X","X",IF(H141=0,"-",H141/H$154*100))</f>
        <v>9.5676671261383177</v>
      </c>
      <c r="I217" s="30">
        <f t="shared" ca="1" si="158"/>
        <v>9.6664994015304977</v>
      </c>
      <c r="J217" s="30">
        <f t="shared" ca="1" si="158"/>
        <v>9.4535366597491812</v>
      </c>
      <c r="K217" s="30">
        <f t="shared" ca="1" si="158"/>
        <v>9.176559071886933</v>
      </c>
      <c r="L217" s="30">
        <f t="shared" ref="L217" ca="1" si="159">IF(L141="X","X",IF(L141=0,"-",L141/L$154*100))</f>
        <v>9.1338510328798641</v>
      </c>
      <c r="M217" s="30">
        <f t="shared" ref="M217:N217" ca="1" si="160">IF(M141="X","X",IF(M141=0,"-",M141/M$154*100))</f>
        <v>9.2436865185168919</v>
      </c>
      <c r="N217" s="30">
        <f t="shared" ca="1" si="160"/>
        <v>9.4450334302358172</v>
      </c>
    </row>
    <row r="218" spans="1:14" ht="15.75" customHeight="1">
      <c r="A218" s="126" t="s">
        <v>16</v>
      </c>
      <c r="B218" s="111" t="s">
        <v>59</v>
      </c>
      <c r="C218" s="54">
        <f t="shared" ca="1" si="142"/>
        <v>6.4031451834570152</v>
      </c>
      <c r="D218" s="30">
        <f t="shared" ca="1" si="142"/>
        <v>6.3291849219627636</v>
      </c>
      <c r="E218" s="30">
        <f t="shared" ca="1" si="142"/>
        <v>6.4410496331276876</v>
      </c>
      <c r="F218" s="30">
        <f t="shared" ca="1" si="142"/>
        <v>6.2489240789737392</v>
      </c>
      <c r="G218" s="30">
        <f t="shared" ca="1" si="142"/>
        <v>6.3158266693877723</v>
      </c>
      <c r="H218" s="30">
        <f t="shared" ref="H218:K218" ca="1" si="161">IF(H142="X","X",IF(H142=0,"-",H142/H$154*100))</f>
        <v>6.5807066947968256</v>
      </c>
      <c r="I218" s="30">
        <f t="shared" ca="1" si="161"/>
        <v>6.5166072443243213</v>
      </c>
      <c r="J218" s="30">
        <f t="shared" ca="1" si="161"/>
        <v>6.5075600155879387</v>
      </c>
      <c r="K218" s="30">
        <f t="shared" ca="1" si="161"/>
        <v>6.3573492711159201</v>
      </c>
      <c r="L218" s="30">
        <f t="shared" ref="L218" ca="1" si="162">IF(L142="X","X",IF(L142=0,"-",L142/L$154*100))</f>
        <v>4.5819337727661917</v>
      </c>
      <c r="M218" s="30">
        <f t="shared" ref="M218:N218" ca="1" si="163">IF(M142="X","X",IF(M142=0,"-",M142/M$154*100))</f>
        <v>4.6264082969732083</v>
      </c>
      <c r="N218" s="30">
        <f t="shared" ca="1" si="163"/>
        <v>6.3965052347513067</v>
      </c>
    </row>
    <row r="219" spans="1:14" ht="15.75" customHeight="1">
      <c r="A219" s="18">
        <v>10</v>
      </c>
      <c r="B219" s="111" t="s">
        <v>60</v>
      </c>
      <c r="C219" s="54">
        <f t="shared" ca="1" si="142"/>
        <v>4.1118924978944227</v>
      </c>
      <c r="D219" s="30">
        <f t="shared" ca="1" si="142"/>
        <v>4.0695155295617509</v>
      </c>
      <c r="E219" s="30">
        <f t="shared" ca="1" si="142"/>
        <v>4.1091650916416711</v>
      </c>
      <c r="F219" s="30">
        <f t="shared" ca="1" si="142"/>
        <v>4.0296870906136268</v>
      </c>
      <c r="G219" s="30">
        <f t="shared" ca="1" si="142"/>
        <v>3.9672861509882162</v>
      </c>
      <c r="H219" s="30">
        <f t="shared" ref="H219:K219" ca="1" si="164">IF(H143="X","X",IF(H143=0,"-",H143/H$154*100))</f>
        <v>4.3281811678845337</v>
      </c>
      <c r="I219" s="30">
        <f t="shared" ca="1" si="164"/>
        <v>4.4656379330032614</v>
      </c>
      <c r="J219" s="30">
        <f t="shared" ca="1" si="164"/>
        <v>4.5458079995613083</v>
      </c>
      <c r="K219" s="30">
        <f t="shared" ca="1" si="164"/>
        <v>4.2628563282457472</v>
      </c>
      <c r="L219" s="30">
        <f t="shared" ref="L219" ca="1" si="165">IF(L143="X","X",IF(L143=0,"-",L143/L$154*100))</f>
        <v>2.650331907410127</v>
      </c>
      <c r="M219" s="30">
        <f t="shared" ref="M219:N219" ca="1" si="166">IF(M143="X","X",IF(M143=0,"-",M143/M$154*100))</f>
        <v>2.4590336490188487</v>
      </c>
      <c r="N219" s="30">
        <f t="shared" ca="1" si="166"/>
        <v>3.7672054205620045</v>
      </c>
    </row>
    <row r="220" spans="1:14" ht="15.75" customHeight="1">
      <c r="A220" s="18">
        <v>11</v>
      </c>
      <c r="B220" s="111" t="s">
        <v>61</v>
      </c>
      <c r="C220" s="54">
        <f t="shared" ca="1" si="142"/>
        <v>4.7040986166097118</v>
      </c>
      <c r="D220" s="30">
        <f t="shared" ca="1" si="142"/>
        <v>4.9469393570626927</v>
      </c>
      <c r="E220" s="30">
        <f t="shared" ca="1" si="142"/>
        <v>4.9413279110866606</v>
      </c>
      <c r="F220" s="30">
        <f t="shared" ca="1" si="142"/>
        <v>4.7684567468388748</v>
      </c>
      <c r="G220" s="30">
        <f t="shared" ca="1" si="142"/>
        <v>4.6924657331734325</v>
      </c>
      <c r="H220" s="30">
        <f t="shared" ref="H220:K220" ca="1" si="167">IF(H144="X","X",IF(H144=0,"-",H144/H$154*100))</f>
        <v>4.668501302842432</v>
      </c>
      <c r="I220" s="30">
        <f t="shared" ca="1" si="167"/>
        <v>4.4295159425815029</v>
      </c>
      <c r="J220" s="30">
        <f t="shared" ca="1" si="167"/>
        <v>4.379051212312854</v>
      </c>
      <c r="K220" s="30">
        <f t="shared" ca="1" si="167"/>
        <v>4.0349662365601491</v>
      </c>
      <c r="L220" s="30">
        <f t="shared" ref="L220" ca="1" si="168">IF(L144="X","X",IF(L144=0,"-",L144/L$154*100))</f>
        <v>4.2795787024154368</v>
      </c>
      <c r="M220" s="30">
        <f t="shared" ref="M220:N220" ca="1" si="169">IF(M144="X","X",IF(M144=0,"-",M144/M$154*100))</f>
        <v>3.9433688193508178</v>
      </c>
      <c r="N220" s="30">
        <f t="shared" ca="1" si="169"/>
        <v>3.770926117273671</v>
      </c>
    </row>
    <row r="221" spans="1:14" ht="15.75" customHeight="1">
      <c r="A221" s="18">
        <v>12</v>
      </c>
      <c r="B221" s="111" t="s">
        <v>62</v>
      </c>
      <c r="C221" s="54">
        <f t="shared" ca="1" si="142"/>
        <v>3.8449322836210533</v>
      </c>
      <c r="D221" s="30">
        <f t="shared" ca="1" si="142"/>
        <v>3.6869451307071226</v>
      </c>
      <c r="E221" s="30">
        <f t="shared" ca="1" si="142"/>
        <v>3.7081469050790927</v>
      </c>
      <c r="F221" s="30">
        <f t="shared" ca="1" si="142"/>
        <v>3.5976527378750953</v>
      </c>
      <c r="G221" s="30">
        <f t="shared" ca="1" si="142"/>
        <v>3.5458272006284508</v>
      </c>
      <c r="H221" s="30">
        <f t="shared" ref="H221:K221" ca="1" si="170">IF(H145="X","X",IF(H145=0,"-",H145/H$154*100))</f>
        <v>3.2109151333338444</v>
      </c>
      <c r="I221" s="30">
        <f t="shared" ca="1" si="170"/>
        <v>3.2284825079033914</v>
      </c>
      <c r="J221" s="30">
        <f t="shared" ca="1" si="170"/>
        <v>3.2842771722543675</v>
      </c>
      <c r="K221" s="30">
        <f t="shared" ca="1" si="170"/>
        <v>3.4104414730919208</v>
      </c>
      <c r="L221" s="30">
        <f t="shared" ref="L221" ca="1" si="171">IF(L145="X","X",IF(L145=0,"-",L145/L$154*100))</f>
        <v>3.5760354447168914</v>
      </c>
      <c r="M221" s="30">
        <f t="shared" ref="M221:N221" ca="1" si="172">IF(M145="X","X",IF(M145=0,"-",M145/M$154*100))</f>
        <v>3.5643906006445514</v>
      </c>
      <c r="N221" s="30">
        <f t="shared" ca="1" si="172"/>
        <v>3.9395678164217207</v>
      </c>
    </row>
    <row r="222" spans="1:14" ht="15.75" customHeight="1">
      <c r="A222" s="18">
        <v>13</v>
      </c>
      <c r="B222" s="111" t="s">
        <v>63</v>
      </c>
      <c r="C222" s="54">
        <f t="shared" ref="C222:G231" ca="1" si="173">IF(C146="X","X",IF(C146=0,"-",C146/C$154*100))</f>
        <v>12.230218325587284</v>
      </c>
      <c r="D222" s="30">
        <f t="shared" ca="1" si="173"/>
        <v>12.214926306287053</v>
      </c>
      <c r="E222" s="30">
        <f t="shared" ca="1" si="173"/>
        <v>11.843340424477262</v>
      </c>
      <c r="F222" s="30">
        <f t="shared" ca="1" si="173"/>
        <v>11.980017780147117</v>
      </c>
      <c r="G222" s="30">
        <f t="shared" ca="1" si="173"/>
        <v>11.540013841103269</v>
      </c>
      <c r="H222" s="30">
        <f t="shared" ref="H222:K222" ca="1" si="174">IF(H146="X","X",IF(H146=0,"-",H146/H$154*100))</f>
        <v>11.312080621835328</v>
      </c>
      <c r="I222" s="30">
        <f t="shared" ca="1" si="174"/>
        <v>11.547094841151955</v>
      </c>
      <c r="J222" s="30">
        <f t="shared" ca="1" si="174"/>
        <v>11.653332865874955</v>
      </c>
      <c r="K222" s="30">
        <f t="shared" ca="1" si="174"/>
        <v>11.922568760846788</v>
      </c>
      <c r="L222" s="30">
        <f t="shared" ref="L222" ca="1" si="175">IF(L146="X","X",IF(L146=0,"-",L146/L$154*100))</f>
        <v>13.06582376046204</v>
      </c>
      <c r="M222" s="30">
        <f t="shared" ref="M222:N222" ca="1" si="176">IF(M146="X","X",IF(M146=0,"-",M146/M$154*100))</f>
        <v>12.671652282793447</v>
      </c>
      <c r="N222" s="30">
        <f t="shared" ca="1" si="176"/>
        <v>12.589896291182621</v>
      </c>
    </row>
    <row r="223" spans="1:14" ht="15.75" customHeight="1">
      <c r="A223" s="18">
        <v>14</v>
      </c>
      <c r="B223" s="111" t="s">
        <v>64</v>
      </c>
      <c r="C223" s="54">
        <f t="shared" ca="1" si="173"/>
        <v>8.5381858084762126</v>
      </c>
      <c r="D223" s="30">
        <f t="shared" ca="1" si="173"/>
        <v>8.8725656725471715</v>
      </c>
      <c r="E223" s="30">
        <f t="shared" ca="1" si="173"/>
        <v>8.9973543689382716</v>
      </c>
      <c r="F223" s="30">
        <f t="shared" ca="1" si="173"/>
        <v>9.1037432712340749</v>
      </c>
      <c r="G223" s="30">
        <f t="shared" ca="1" si="173"/>
        <v>9.4962035521972812</v>
      </c>
      <c r="H223" s="30">
        <f t="shared" ref="H223:K223" ca="1" si="177">IF(H147="X","X",IF(H147=0,"-",H147/H$154*100))</f>
        <v>9.9043885695340332</v>
      </c>
      <c r="I223" s="30">
        <f t="shared" ca="1" si="177"/>
        <v>9.6066751982501302</v>
      </c>
      <c r="J223" s="30">
        <f t="shared" ca="1" si="177"/>
        <v>9.5556358625079056</v>
      </c>
      <c r="K223" s="30">
        <f t="shared" ca="1" si="177"/>
        <v>9.2999669526967743</v>
      </c>
      <c r="L223" s="30">
        <f t="shared" ref="L223" ca="1" si="178">IF(L147="X","X",IF(L147=0,"-",L147/L$154*100))</f>
        <v>10.074955588177255</v>
      </c>
      <c r="M223" s="30">
        <f t="shared" ref="M223:N223" ca="1" si="179">IF(M147="X","X",IF(M147=0,"-",M147/M$154*100))</f>
        <v>10.280922581536837</v>
      </c>
      <c r="N223" s="30">
        <f t="shared" ca="1" si="179"/>
        <v>10.837201587796114</v>
      </c>
    </row>
    <row r="224" spans="1:14" ht="15.75" customHeight="1">
      <c r="A224" s="18">
        <v>15</v>
      </c>
      <c r="B224" s="111" t="s">
        <v>65</v>
      </c>
      <c r="C224" s="54">
        <f t="shared" ca="1" si="173"/>
        <v>9.955340125851146</v>
      </c>
      <c r="D224" s="30">
        <f t="shared" ca="1" si="173"/>
        <v>9.8939850427520817</v>
      </c>
      <c r="E224" s="30">
        <f t="shared" ca="1" si="173"/>
        <v>9.2891930812420114</v>
      </c>
      <c r="F224" s="30">
        <f t="shared" ca="1" si="173"/>
        <v>9.4479370334415176</v>
      </c>
      <c r="G224" s="30">
        <f t="shared" ca="1" si="173"/>
        <v>9.2403426574485596</v>
      </c>
      <c r="H224" s="30">
        <f t="shared" ref="H224:K224" ca="1" si="180">IF(H148="X","X",IF(H148=0,"-",H148/H$154*100))</f>
        <v>9.0912932327649951</v>
      </c>
      <c r="I224" s="30">
        <f t="shared" ca="1" si="180"/>
        <v>9.1444365538165346</v>
      </c>
      <c r="J224" s="30">
        <f t="shared" ca="1" si="180"/>
        <v>9.332222220723958</v>
      </c>
      <c r="K224" s="30">
        <f t="shared" ca="1" si="180"/>
        <v>9.6991488811175213</v>
      </c>
      <c r="L224" s="30">
        <f t="shared" ref="L224" ca="1" si="181">IF(L148="X","X",IF(L148=0,"-",L148/L$154*100))</f>
        <v>9.963458882971544</v>
      </c>
      <c r="M224" s="30">
        <f t="shared" ref="M224:N224" ca="1" si="182">IF(M148="X","X",IF(M148=0,"-",M148/M$154*100))</f>
        <v>9.7554055080669588</v>
      </c>
      <c r="N224" s="30">
        <f t="shared" ca="1" si="182"/>
        <v>9.889813584129211</v>
      </c>
    </row>
    <row r="225" spans="1:14" ht="15.75" customHeight="1">
      <c r="A225" s="18">
        <v>16</v>
      </c>
      <c r="B225" s="111" t="s">
        <v>66</v>
      </c>
      <c r="C225" s="54">
        <f t="shared" ca="1" si="173"/>
        <v>5.740606240629079</v>
      </c>
      <c r="D225" s="30">
        <f t="shared" ca="1" si="173"/>
        <v>5.7437926676842315</v>
      </c>
      <c r="E225" s="30">
        <f t="shared" ca="1" si="173"/>
        <v>5.4498047944968002</v>
      </c>
      <c r="F225" s="30">
        <f t="shared" ca="1" si="173"/>
        <v>5.5435489920797067</v>
      </c>
      <c r="G225" s="30">
        <f t="shared" ca="1" si="173"/>
        <v>5.419544320496299</v>
      </c>
      <c r="H225" s="30">
        <f t="shared" ref="H225:K225" ca="1" si="183">IF(H149="X","X",IF(H149=0,"-",H149/H$154*100))</f>
        <v>5.2810682588206834</v>
      </c>
      <c r="I225" s="30">
        <f t="shared" ca="1" si="183"/>
        <v>5.3309051834146377</v>
      </c>
      <c r="J225" s="30">
        <f t="shared" ca="1" si="183"/>
        <v>5.3578596159559728</v>
      </c>
      <c r="K225" s="30">
        <f t="shared" ca="1" si="183"/>
        <v>5.3859507177342465</v>
      </c>
      <c r="L225" s="30">
        <f t="shared" ref="L225" ca="1" si="184">IF(L149="X","X",IF(L149=0,"-",L149/L$154*100))</f>
        <v>5.9045646284557964</v>
      </c>
      <c r="M225" s="30">
        <f t="shared" ref="M225:N225" ca="1" si="185">IF(M149="X","X",IF(M149=0,"-",M149/M$154*100))</f>
        <v>5.8772057484236324</v>
      </c>
      <c r="N225" s="30">
        <f t="shared" ca="1" si="185"/>
        <v>5.8840128834727095</v>
      </c>
    </row>
    <row r="226" spans="1:14" ht="15.75" customHeight="1">
      <c r="A226" s="18">
        <v>17</v>
      </c>
      <c r="B226" s="111" t="s">
        <v>67</v>
      </c>
      <c r="C226" s="54">
        <f t="shared" ca="1" si="173"/>
        <v>10.907945205040349</v>
      </c>
      <c r="D226" s="30">
        <f t="shared" ca="1" si="173"/>
        <v>11.406111025162138</v>
      </c>
      <c r="E226" s="30">
        <f t="shared" ca="1" si="173"/>
        <v>11.412324207819573</v>
      </c>
      <c r="F226" s="30">
        <f t="shared" ca="1" si="173"/>
        <v>11.311848736483782</v>
      </c>
      <c r="G226" s="30">
        <f t="shared" ca="1" si="173"/>
        <v>11.545927198873674</v>
      </c>
      <c r="H226" s="30">
        <f t="shared" ref="H226:K226" ca="1" si="186">IF(H150="X","X",IF(H150=0,"-",H150/H$154*100))</f>
        <v>11.539239320186269</v>
      </c>
      <c r="I226" s="30">
        <f t="shared" ca="1" si="186"/>
        <v>11.317146981470874</v>
      </c>
      <c r="J226" s="30">
        <f t="shared" ca="1" si="186"/>
        <v>11.487744724574871</v>
      </c>
      <c r="K226" s="30">
        <f t="shared" ca="1" si="186"/>
        <v>11.803138175489448</v>
      </c>
      <c r="L226" s="30">
        <f t="shared" ref="L226" ca="1" si="187">IF(L150="X","X",IF(L150=0,"-",L150/L$154*100))</f>
        <v>12.649972470977888</v>
      </c>
      <c r="M226" s="30">
        <f t="shared" ref="M226:N226" ca="1" si="188">IF(M150="X","X",IF(M150=0,"-",M150/M$154*100))</f>
        <v>12.56611867908174</v>
      </c>
      <c r="N226" s="30">
        <f t="shared" ca="1" si="188"/>
        <v>12.579877306663859</v>
      </c>
    </row>
    <row r="227" spans="1:14" ht="15.75" customHeight="1">
      <c r="A227" s="18">
        <v>18</v>
      </c>
      <c r="B227" s="111" t="s">
        <v>68</v>
      </c>
      <c r="C227" s="55">
        <f t="shared" ca="1" si="173"/>
        <v>5.7773887316291228</v>
      </c>
      <c r="D227" s="32">
        <f t="shared" ca="1" si="173"/>
        <v>5.9310107971403978</v>
      </c>
      <c r="E227" s="32">
        <f t="shared" ca="1" si="173"/>
        <v>5.6142546118760865</v>
      </c>
      <c r="F227" s="32">
        <f t="shared" ca="1" si="173"/>
        <v>5.4614129916233392</v>
      </c>
      <c r="G227" s="32">
        <f t="shared" ca="1" si="173"/>
        <v>5.3681509915811576</v>
      </c>
      <c r="H227" s="32">
        <f t="shared" ref="H227:K227" ca="1" si="189">IF(H151="X","X",IF(H151=0,"-",H151/H$154*100))</f>
        <v>5.2376982211551519</v>
      </c>
      <c r="I227" s="32">
        <f t="shared" ca="1" si="189"/>
        <v>5.2277482397353729</v>
      </c>
      <c r="J227" s="32">
        <f t="shared" ca="1" si="189"/>
        <v>5.1456155325631956</v>
      </c>
      <c r="K227" s="32">
        <f t="shared" ca="1" si="189"/>
        <v>5.0320831442442167</v>
      </c>
      <c r="L227" s="32">
        <f t="shared" ref="L227" ca="1" si="190">IF(L151="X","X",IF(L151=0,"-",L151/L$154*100))</f>
        <v>4.9122106268928434</v>
      </c>
      <c r="M227" s="32">
        <f t="shared" ref="M227:N227" ca="1" si="191">IF(M151="X","X",IF(M151=0,"-",M151/M$154*100))</f>
        <v>5.1658607487302559</v>
      </c>
      <c r="N227" s="32">
        <f t="shared" ca="1" si="191"/>
        <v>5.4044912843800219</v>
      </c>
    </row>
    <row r="228" spans="1:14" ht="15.75" customHeight="1">
      <c r="A228" s="33">
        <v>19</v>
      </c>
      <c r="B228" s="110" t="s">
        <v>70</v>
      </c>
      <c r="C228" s="52">
        <f t="shared" ca="1" si="173"/>
        <v>99.892537428254784</v>
      </c>
      <c r="D228" s="29">
        <f t="shared" ca="1" si="173"/>
        <v>99.89874856522809</v>
      </c>
      <c r="E228" s="29">
        <f t="shared" ca="1" si="173"/>
        <v>99.946476117535781</v>
      </c>
      <c r="F228" s="29">
        <f t="shared" ca="1" si="173"/>
        <v>100.07650713502865</v>
      </c>
      <c r="G228" s="29">
        <f t="shared" ca="1" si="173"/>
        <v>100.39528152510786</v>
      </c>
      <c r="H228" s="29">
        <f t="shared" ref="H228:K228" ca="1" si="192">IF(H152="X","X",IF(H152=0,"-",H152/H$154*100))</f>
        <v>100.53123652667293</v>
      </c>
      <c r="I228" s="29">
        <f t="shared" ca="1" si="192"/>
        <v>100.55700200217731</v>
      </c>
      <c r="J228" s="29">
        <f t="shared" ca="1" si="192"/>
        <v>100.5884357089658</v>
      </c>
      <c r="K228" s="29">
        <f t="shared" ca="1" si="192"/>
        <v>100.74035790743314</v>
      </c>
      <c r="L228" s="29">
        <f t="shared" ref="L228" ca="1" si="193">IF(L152="X","X",IF(L152=0,"-",L152/L$154*100))</f>
        <v>100.69256973483351</v>
      </c>
      <c r="M228" s="29">
        <f t="shared" ref="M228:N228" ca="1" si="194">IF(M152="X","X",IF(M152=0,"-",M152/M$154*100))</f>
        <v>100.78884767006882</v>
      </c>
      <c r="N228" s="29">
        <f t="shared" ca="1" si="194"/>
        <v>100.68913578974028</v>
      </c>
    </row>
    <row r="229" spans="1:14" ht="15.75" customHeight="1" thickBot="1">
      <c r="A229" s="71">
        <v>20</v>
      </c>
      <c r="B229" s="113" t="s">
        <v>100</v>
      </c>
      <c r="C229" s="176">
        <f t="shared" ca="1" si="173"/>
        <v>0.10746257174522368</v>
      </c>
      <c r="D229" s="174">
        <f t="shared" ca="1" si="173"/>
        <v>0.10125143477190648</v>
      </c>
      <c r="E229" s="174">
        <f t="shared" ca="1" si="173"/>
        <v>5.3523882464225167E-2</v>
      </c>
      <c r="F229" s="174">
        <f t="shared" ca="1" si="173"/>
        <v>-7.6507135028656734E-2</v>
      </c>
      <c r="G229" s="174">
        <f t="shared" ca="1" si="173"/>
        <v>-0.39528152510785269</v>
      </c>
      <c r="H229" s="174">
        <f t="shared" ref="H229:K229" ca="1" si="195">IF(H153="X","X",IF(H153=0,"-",H153/H$154*100))</f>
        <v>-0.53123652667292143</v>
      </c>
      <c r="I229" s="174">
        <f t="shared" ca="1" si="195"/>
        <v>-0.55700200217732809</v>
      </c>
      <c r="J229" s="174">
        <f t="shared" ca="1" si="195"/>
        <v>-0.58843570896580677</v>
      </c>
      <c r="K229" s="174">
        <f t="shared" ca="1" si="195"/>
        <v>-0.74035790743314067</v>
      </c>
      <c r="L229" s="174">
        <f t="shared" ref="L229" ca="1" si="196">IF(L153="X","X",IF(L153=0,"-",L153/L$154*100))</f>
        <v>-0.69256973483350837</v>
      </c>
      <c r="M229" s="174">
        <f t="shared" ref="M229:N229" ca="1" si="197">IF(M153="X","X",IF(M153=0,"-",M153/M$154*100))</f>
        <v>-0.78884767006882106</v>
      </c>
      <c r="N229" s="174">
        <f t="shared" ca="1" si="197"/>
        <v>-0.68913578974029088</v>
      </c>
    </row>
    <row r="230" spans="1:14" ht="15.75" customHeight="1" thickTop="1">
      <c r="A230" s="18">
        <v>21</v>
      </c>
      <c r="B230" s="111" t="s">
        <v>119</v>
      </c>
      <c r="C230" s="55">
        <f t="shared" ca="1" si="173"/>
        <v>100</v>
      </c>
      <c r="D230" s="32">
        <f t="shared" ca="1" si="173"/>
        <v>100</v>
      </c>
      <c r="E230" s="32">
        <f t="shared" ca="1" si="173"/>
        <v>100</v>
      </c>
      <c r="F230" s="32">
        <f t="shared" ca="1" si="173"/>
        <v>100</v>
      </c>
      <c r="G230" s="32">
        <f t="shared" ca="1" si="173"/>
        <v>100</v>
      </c>
      <c r="H230" s="32">
        <f t="shared" ref="H230:K230" ca="1" si="198">IF(H154="X","X",IF(H154=0,"-",H154/H$154*100))</f>
        <v>100</v>
      </c>
      <c r="I230" s="32">
        <f t="shared" ca="1" si="198"/>
        <v>100</v>
      </c>
      <c r="J230" s="32">
        <f t="shared" ca="1" si="198"/>
        <v>100</v>
      </c>
      <c r="K230" s="32">
        <f t="shared" ca="1" si="198"/>
        <v>100</v>
      </c>
      <c r="L230" s="32">
        <f t="shared" ref="L230" ca="1" si="199">IF(L154="X","X",IF(L154=0,"-",L154/L$154*100))</f>
        <v>100</v>
      </c>
      <c r="M230" s="32">
        <f t="shared" ref="M230:N230" ca="1" si="200">IF(M154="X","X",IF(M154=0,"-",M154/M$154*100))</f>
        <v>100</v>
      </c>
      <c r="N230" s="32">
        <f t="shared" ca="1" si="200"/>
        <v>100</v>
      </c>
    </row>
    <row r="231" spans="1:14" ht="15.75" customHeight="1">
      <c r="A231" s="127" t="s">
        <v>146</v>
      </c>
      <c r="B231" s="128" t="s">
        <v>72</v>
      </c>
      <c r="C231" s="54">
        <f t="shared" ca="1" si="173"/>
        <v>1.4074578437126115</v>
      </c>
      <c r="D231" s="30">
        <f t="shared" ca="1" si="173"/>
        <v>1.5653966243850883</v>
      </c>
      <c r="E231" s="30">
        <f t="shared" ca="1" si="173"/>
        <v>1.4249064295178562</v>
      </c>
      <c r="F231" s="30">
        <f t="shared" ca="1" si="173"/>
        <v>1.5132056211919966</v>
      </c>
      <c r="G231" s="30">
        <f t="shared" ca="1" si="173"/>
        <v>1.4336046506876201</v>
      </c>
      <c r="H231" s="30">
        <f t="shared" ref="H231:K231" ca="1" si="201">IF(H155="X","X",IF(H155=0,"-",H155/H$154*100))</f>
        <v>1.8035713415063099</v>
      </c>
      <c r="I231" s="30">
        <f t="shared" ca="1" si="201"/>
        <v>1.4800917334779427</v>
      </c>
      <c r="J231" s="30">
        <f t="shared" ca="1" si="201"/>
        <v>1.3635626081840275</v>
      </c>
      <c r="K231" s="30">
        <f t="shared" ca="1" si="201"/>
        <v>1.2925539889927231</v>
      </c>
      <c r="L231" s="30">
        <f t="shared" ref="L231" ca="1" si="202">IF(L155="X","X",IF(L155=0,"-",L155/L$154*100))</f>
        <v>1.1105871644059861</v>
      </c>
      <c r="M231" s="30">
        <f t="shared" ref="M231:N231" ca="1" si="203">IF(M155="X","X",IF(M155=0,"-",M155/M$154*100))</f>
        <v>1.2285557639378952</v>
      </c>
      <c r="N231" s="30">
        <f t="shared" ca="1" si="203"/>
        <v>0.98910015174166699</v>
      </c>
    </row>
    <row r="232" spans="1:14" ht="15.75" customHeight="1">
      <c r="A232" s="130" t="s">
        <v>147</v>
      </c>
      <c r="B232" s="111" t="s">
        <v>73</v>
      </c>
      <c r="C232" s="54">
        <f t="shared" ref="C232:G233" ca="1" si="204">IF(C156="X","X",IF(C156=0,"-",C156/C$154*100))</f>
        <v>12.356352619343424</v>
      </c>
      <c r="D232" s="30">
        <f t="shared" ca="1" si="204"/>
        <v>11.077901136706183</v>
      </c>
      <c r="E232" s="30">
        <f t="shared" ca="1" si="204"/>
        <v>12.296161716092788</v>
      </c>
      <c r="F232" s="30">
        <f t="shared" ca="1" si="204"/>
        <v>12.691349872605903</v>
      </c>
      <c r="G232" s="30">
        <f t="shared" ca="1" si="204"/>
        <v>13.888530321463108</v>
      </c>
      <c r="H232" s="30">
        <f t="shared" ref="H232:K232" ca="1" si="205">IF(H156="X","X",IF(H156=0,"-",H156/H$154*100))</f>
        <v>14.133617328141002</v>
      </c>
      <c r="I232" s="30">
        <f t="shared" ca="1" si="205"/>
        <v>14.700012328790182</v>
      </c>
      <c r="J232" s="30">
        <f t="shared" ca="1" si="205"/>
        <v>14.745390253582686</v>
      </c>
      <c r="K232" s="30">
        <f t="shared" ca="1" si="205"/>
        <v>14.995252941466946</v>
      </c>
      <c r="L232" s="30">
        <f t="shared" ref="L232" ca="1" si="206">IF(L156="X","X",IF(L156=0,"-",L156/L$154*100))</f>
        <v>14.359604486623608</v>
      </c>
      <c r="M232" s="30">
        <f t="shared" ref="M232:N232" ca="1" si="207">IF(M156="X","X",IF(M156=0,"-",M156/M$154*100))</f>
        <v>15.255303452587221</v>
      </c>
      <c r="N232" s="30">
        <f t="shared" ca="1" si="207"/>
        <v>13.213583680934567</v>
      </c>
    </row>
    <row r="233" spans="1:14" ht="15.75" customHeight="1">
      <c r="A233" s="131" t="s">
        <v>148</v>
      </c>
      <c r="B233" s="112" t="s">
        <v>74</v>
      </c>
      <c r="C233" s="55">
        <f t="shared" ca="1" si="204"/>
        <v>86.128726965198737</v>
      </c>
      <c r="D233" s="32">
        <f t="shared" ca="1" si="204"/>
        <v>87.255450804136828</v>
      </c>
      <c r="E233" s="32">
        <f t="shared" ca="1" si="204"/>
        <v>86.225407971925122</v>
      </c>
      <c r="F233" s="32">
        <f t="shared" ca="1" si="204"/>
        <v>85.871951641230766</v>
      </c>
      <c r="G233" s="32">
        <f t="shared" ca="1" si="204"/>
        <v>85.073146552957127</v>
      </c>
      <c r="H233" s="32">
        <f t="shared" ref="H233:K233" ca="1" si="208">IF(H157="X","X",IF(H157=0,"-",H157/H$154*100))</f>
        <v>84.594047857025615</v>
      </c>
      <c r="I233" s="32">
        <f t="shared" ca="1" si="208"/>
        <v>84.376897939909199</v>
      </c>
      <c r="J233" s="32">
        <f t="shared" ca="1" si="208"/>
        <v>84.479482847199094</v>
      </c>
      <c r="K233" s="32">
        <f t="shared" ca="1" si="208"/>
        <v>84.45255097697347</v>
      </c>
      <c r="L233" s="32">
        <f t="shared" ref="L233" ca="1" si="209">IF(L157="X","X",IF(L157=0,"-",L157/L$154*100))</f>
        <v>85.222378083803918</v>
      </c>
      <c r="M233" s="32">
        <f t="shared" ref="M233:N233" ca="1" si="210">IF(M157="X","X",IF(M157=0,"-",M157/M$154*100))</f>
        <v>84.3049884535437</v>
      </c>
      <c r="N233" s="32">
        <f t="shared" ca="1" si="210"/>
        <v>86.486451957064062</v>
      </c>
    </row>
    <row r="234" spans="1:14" ht="15.75" customHeight="1">
      <c r="A234" s="127"/>
      <c r="B234" s="299" t="s">
        <v>279</v>
      </c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300"/>
    </row>
    <row r="235" spans="1:14" ht="15.75" customHeight="1">
      <c r="A235" s="131"/>
      <c r="B235" s="301" t="s">
        <v>280</v>
      </c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02"/>
    </row>
  </sheetData>
  <mergeCells count="13">
    <mergeCell ref="Y173:Y174"/>
    <mergeCell ref="Z173:Z174"/>
    <mergeCell ref="AB173:AB174"/>
    <mergeCell ref="AC173:AC174"/>
    <mergeCell ref="X176:X177"/>
    <mergeCell ref="Z176:Z177"/>
    <mergeCell ref="AA176:AA177"/>
    <mergeCell ref="AC170:AC171"/>
    <mergeCell ref="X170:X171"/>
    <mergeCell ref="Y170:Y171"/>
    <mergeCell ref="Z170:Z171"/>
    <mergeCell ref="AA170:AA171"/>
    <mergeCell ref="AB170:AB171"/>
  </mergeCells>
  <phoneticPr fontId="3"/>
  <pageMargins left="0.78740157480314965" right="0.70866141732283472" top="0.74803149606299213" bottom="0.74803149606299213" header="0.31496062992125984" footer="0.31496062992125984"/>
  <pageSetup paperSize="9" scale="57" orientation="landscape" r:id="rId1"/>
  <headerFooter>
    <oddHeader>&amp;R&amp;"ＭＳ ゴシック,標準"&amp;10&amp;D</oddHeader>
  </headerFooter>
  <rowBreaks count="6" manualBreakCount="6">
    <brk id="32" max="12" man="1"/>
    <brk id="64" max="12" man="1"/>
    <brk id="96" max="12" man="1"/>
    <brk id="128" max="12" man="1"/>
    <brk id="172" max="13" man="1"/>
    <brk id="204" max="12" man="1"/>
  </rowBreaks>
  <ignoredErrors>
    <ignoredError sqref="A6:A23" numberStoredAsText="1"/>
    <ignoredError sqref="C210:K233 C165:K171 C134:K157 D102:K125 C70:K93 D38:K61 C6:K29 D178:N20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O155"/>
  <sheetViews>
    <sheetView showGridLines="0" view="pageBreakPreview" zoomScale="90" zoomScaleNormal="90" zoomScaleSheetLayoutView="90" workbookViewId="0">
      <pane xSplit="2" ySplit="4" topLeftCell="C86" activePane="bottomRight" state="frozen"/>
      <selection pane="topRight" activeCell="C1" sqref="C1"/>
      <selection pane="bottomLeft" activeCell="A5" sqref="A5"/>
      <selection pane="bottomRight" activeCell="J110" sqref="J110"/>
    </sheetView>
  </sheetViews>
  <sheetFormatPr defaultColWidth="9" defaultRowHeight="13.5" customHeight="1"/>
  <cols>
    <col min="1" max="1" width="3.75" style="24" customWidth="1"/>
    <col min="2" max="2" width="18.75" style="24" customWidth="1"/>
    <col min="3" max="14" width="11.25" style="24" customWidth="1"/>
    <col min="15" max="16384" width="9" style="24"/>
  </cols>
  <sheetData>
    <row r="1" spans="1:15" ht="13.5" customHeight="1">
      <c r="A1" s="116" t="s">
        <v>162</v>
      </c>
      <c r="O1" s="42"/>
    </row>
    <row r="2" spans="1:15" ht="13.5" customHeight="1" thickBot="1">
      <c r="A2" s="43"/>
      <c r="O2" s="42"/>
    </row>
    <row r="3" spans="1:15" ht="13.5" customHeight="1" thickBot="1">
      <c r="B3" s="44" t="s">
        <v>97</v>
      </c>
      <c r="C3" s="96" t="str">
        <f ca="1">経済活動別〔統計表〕!A1</f>
        <v>経済活動別〔統計表〕</v>
      </c>
      <c r="D3" s="97"/>
      <c r="O3" s="42"/>
    </row>
    <row r="4" spans="1:15" ht="13.5" customHeight="1">
      <c r="O4" s="42"/>
    </row>
    <row r="5" spans="1:15" ht="13.5" customHeight="1" thickBot="1">
      <c r="B5" s="43" t="s">
        <v>95</v>
      </c>
      <c r="O5" s="42"/>
    </row>
    <row r="6" spans="1:15" ht="13.5" customHeight="1">
      <c r="B6" s="43"/>
      <c r="C6" s="46">
        <v>4</v>
      </c>
      <c r="D6" s="98"/>
      <c r="E6" s="94" t="str">
        <f ca="1">"　←"&amp;$C$3</f>
        <v>　←経済活動別〔統計表〕</v>
      </c>
      <c r="F6" s="24" t="s">
        <v>128</v>
      </c>
      <c r="O6" s="42"/>
    </row>
    <row r="7" spans="1:15" ht="13.5" customHeight="1" thickBot="1">
      <c r="B7" s="43"/>
      <c r="C7" s="45">
        <v>56</v>
      </c>
      <c r="D7" s="98"/>
      <c r="E7" s="94" t="str">
        <f ca="1">"　←"&amp;$C$3</f>
        <v>　←経済活動別〔統計表〕</v>
      </c>
      <c r="F7" s="24" t="s">
        <v>127</v>
      </c>
      <c r="O7" s="42"/>
    </row>
    <row r="8" spans="1:15" ht="13.5" customHeight="1">
      <c r="A8" s="43"/>
      <c r="O8" s="42"/>
    </row>
    <row r="9" spans="1:15" ht="13.5" customHeight="1">
      <c r="A9" s="4"/>
      <c r="B9" s="25" t="s">
        <v>94</v>
      </c>
      <c r="C9" s="47">
        <f>C6</f>
        <v>4</v>
      </c>
      <c r="D9" s="92">
        <f>C7-C6</f>
        <v>52</v>
      </c>
      <c r="E9" s="92">
        <f>D9</f>
        <v>52</v>
      </c>
      <c r="F9" s="92">
        <f t="shared" ref="F9:L9" si="0">E9</f>
        <v>52</v>
      </c>
      <c r="G9" s="92">
        <f t="shared" si="0"/>
        <v>52</v>
      </c>
      <c r="H9" s="92">
        <f t="shared" si="0"/>
        <v>52</v>
      </c>
      <c r="I9" s="92">
        <f t="shared" si="0"/>
        <v>52</v>
      </c>
      <c r="J9" s="92">
        <f t="shared" si="0"/>
        <v>52</v>
      </c>
      <c r="K9" s="92">
        <f t="shared" si="0"/>
        <v>52</v>
      </c>
      <c r="L9" s="92">
        <f t="shared" si="0"/>
        <v>52</v>
      </c>
      <c r="M9" s="92">
        <f t="shared" ref="M9" si="1">L9</f>
        <v>52</v>
      </c>
      <c r="N9" s="92">
        <f t="shared" ref="N9" si="2">M9</f>
        <v>52</v>
      </c>
    </row>
    <row r="10" spans="1:15" ht="13.5" customHeight="1">
      <c r="A10" s="166"/>
      <c r="B10" s="7"/>
      <c r="C10" s="8">
        <v>23</v>
      </c>
      <c r="D10" s="9">
        <f t="shared" ref="D10:J11" si="3">C10+1</f>
        <v>24</v>
      </c>
      <c r="E10" s="9">
        <f t="shared" si="3"/>
        <v>25</v>
      </c>
      <c r="F10" s="9">
        <f t="shared" si="3"/>
        <v>26</v>
      </c>
      <c r="G10" s="9">
        <f t="shared" si="3"/>
        <v>27</v>
      </c>
      <c r="H10" s="9">
        <f t="shared" si="3"/>
        <v>28</v>
      </c>
      <c r="I10" s="9">
        <f t="shared" si="3"/>
        <v>29</v>
      </c>
      <c r="J10" s="9">
        <f t="shared" si="3"/>
        <v>30</v>
      </c>
      <c r="K10" s="10">
        <v>1</v>
      </c>
      <c r="L10" s="11">
        <f>K10+1</f>
        <v>2</v>
      </c>
      <c r="M10" s="11">
        <f t="shared" ref="M10:N10" si="4">L10+1</f>
        <v>3</v>
      </c>
      <c r="N10" s="11">
        <f t="shared" si="4"/>
        <v>4</v>
      </c>
    </row>
    <row r="11" spans="1:15" ht="13.5" customHeight="1">
      <c r="A11" s="167"/>
      <c r="B11" s="13"/>
      <c r="C11" s="14">
        <v>2011</v>
      </c>
      <c r="D11" s="15">
        <f>C11+1</f>
        <v>2012</v>
      </c>
      <c r="E11" s="15">
        <f t="shared" si="3"/>
        <v>2013</v>
      </c>
      <c r="F11" s="15">
        <f t="shared" si="3"/>
        <v>2014</v>
      </c>
      <c r="G11" s="15">
        <f t="shared" si="3"/>
        <v>2015</v>
      </c>
      <c r="H11" s="15">
        <f t="shared" si="3"/>
        <v>2016</v>
      </c>
      <c r="I11" s="15">
        <f t="shared" si="3"/>
        <v>2017</v>
      </c>
      <c r="J11" s="15">
        <f t="shared" si="3"/>
        <v>2018</v>
      </c>
      <c r="K11" s="15">
        <f>J11+1</f>
        <v>2019</v>
      </c>
      <c r="L11" s="15">
        <f>K11+1</f>
        <v>2020</v>
      </c>
      <c r="M11" s="15">
        <f t="shared" ref="M11:N11" si="5">L11+1</f>
        <v>2021</v>
      </c>
      <c r="N11" s="15">
        <f t="shared" si="5"/>
        <v>2022</v>
      </c>
    </row>
    <row r="12" spans="1:15" ht="13.5" customHeight="1">
      <c r="A12" s="17"/>
      <c r="B12" s="148" t="s">
        <v>0</v>
      </c>
      <c r="C12" s="149">
        <f>C9</f>
        <v>4</v>
      </c>
      <c r="D12" s="149">
        <f>C12+D$9</f>
        <v>56</v>
      </c>
      <c r="E12" s="149">
        <f t="shared" ref="E12:L12" si="6">D12+E$9</f>
        <v>108</v>
      </c>
      <c r="F12" s="149">
        <f t="shared" si="6"/>
        <v>160</v>
      </c>
      <c r="G12" s="149">
        <f t="shared" si="6"/>
        <v>212</v>
      </c>
      <c r="H12" s="149">
        <f t="shared" si="6"/>
        <v>264</v>
      </c>
      <c r="I12" s="149">
        <f t="shared" si="6"/>
        <v>316</v>
      </c>
      <c r="J12" s="149">
        <f t="shared" si="6"/>
        <v>368</v>
      </c>
      <c r="K12" s="149">
        <f t="shared" si="6"/>
        <v>420</v>
      </c>
      <c r="L12" s="149">
        <f t="shared" si="6"/>
        <v>472</v>
      </c>
      <c r="M12" s="149">
        <f t="shared" ref="M12:N27" si="7">L12+M$9</f>
        <v>524</v>
      </c>
      <c r="N12" s="149">
        <f t="shared" ref="N12:N13" si="8">M12+N$9</f>
        <v>576</v>
      </c>
    </row>
    <row r="13" spans="1:15" ht="13.5" customHeight="1">
      <c r="A13" s="17"/>
      <c r="B13" s="150" t="s">
        <v>2</v>
      </c>
      <c r="C13" s="151">
        <f>C12+1</f>
        <v>5</v>
      </c>
      <c r="D13" s="152">
        <f>C13+D$9</f>
        <v>57</v>
      </c>
      <c r="E13" s="152">
        <f t="shared" ref="E13:L13" si="9">D13+E$9</f>
        <v>109</v>
      </c>
      <c r="F13" s="152">
        <f t="shared" si="9"/>
        <v>161</v>
      </c>
      <c r="G13" s="152">
        <f t="shared" si="9"/>
        <v>213</v>
      </c>
      <c r="H13" s="152">
        <f t="shared" si="9"/>
        <v>265</v>
      </c>
      <c r="I13" s="152">
        <f t="shared" si="9"/>
        <v>317</v>
      </c>
      <c r="J13" s="152">
        <f t="shared" si="9"/>
        <v>369</v>
      </c>
      <c r="K13" s="152">
        <f t="shared" si="9"/>
        <v>421</v>
      </c>
      <c r="L13" s="152">
        <f t="shared" si="9"/>
        <v>473</v>
      </c>
      <c r="M13" s="152">
        <f t="shared" si="7"/>
        <v>525</v>
      </c>
      <c r="N13" s="152">
        <f t="shared" si="8"/>
        <v>577</v>
      </c>
    </row>
    <row r="14" spans="1:15" ht="13.5" customHeight="1">
      <c r="A14" s="17"/>
      <c r="B14" s="150" t="s">
        <v>4</v>
      </c>
      <c r="C14" s="153">
        <f t="shared" ref="C14:C59" si="10">C13+1</f>
        <v>6</v>
      </c>
      <c r="D14" s="154">
        <f t="shared" ref="D14:L59" si="11">C14+D$9</f>
        <v>58</v>
      </c>
      <c r="E14" s="154">
        <f t="shared" si="11"/>
        <v>110</v>
      </c>
      <c r="F14" s="154">
        <f t="shared" si="11"/>
        <v>162</v>
      </c>
      <c r="G14" s="154">
        <f t="shared" si="11"/>
        <v>214</v>
      </c>
      <c r="H14" s="154">
        <f t="shared" si="11"/>
        <v>266</v>
      </c>
      <c r="I14" s="154">
        <f t="shared" si="11"/>
        <v>318</v>
      </c>
      <c r="J14" s="154">
        <f t="shared" si="11"/>
        <v>370</v>
      </c>
      <c r="K14" s="154">
        <f t="shared" si="11"/>
        <v>422</v>
      </c>
      <c r="L14" s="154">
        <f t="shared" si="11"/>
        <v>474</v>
      </c>
      <c r="M14" s="154">
        <f t="shared" si="7"/>
        <v>526</v>
      </c>
      <c r="N14" s="154">
        <f t="shared" si="7"/>
        <v>578</v>
      </c>
    </row>
    <row r="15" spans="1:15" ht="13.5" customHeight="1">
      <c r="A15" s="17"/>
      <c r="B15" s="150" t="s">
        <v>6</v>
      </c>
      <c r="C15" s="153">
        <f t="shared" si="10"/>
        <v>7</v>
      </c>
      <c r="D15" s="154">
        <f t="shared" si="11"/>
        <v>59</v>
      </c>
      <c r="E15" s="154">
        <f t="shared" si="11"/>
        <v>111</v>
      </c>
      <c r="F15" s="154">
        <f t="shared" si="11"/>
        <v>163</v>
      </c>
      <c r="G15" s="154">
        <f t="shared" si="11"/>
        <v>215</v>
      </c>
      <c r="H15" s="154">
        <f t="shared" si="11"/>
        <v>267</v>
      </c>
      <c r="I15" s="154">
        <f t="shared" si="11"/>
        <v>319</v>
      </c>
      <c r="J15" s="154">
        <f t="shared" si="11"/>
        <v>371</v>
      </c>
      <c r="K15" s="154">
        <f t="shared" si="11"/>
        <v>423</v>
      </c>
      <c r="L15" s="154">
        <f t="shared" si="11"/>
        <v>475</v>
      </c>
      <c r="M15" s="154">
        <f t="shared" si="7"/>
        <v>527</v>
      </c>
      <c r="N15" s="154">
        <f t="shared" si="7"/>
        <v>579</v>
      </c>
    </row>
    <row r="16" spans="1:15" ht="13.5" customHeight="1">
      <c r="A16" s="17"/>
      <c r="B16" s="150" t="s">
        <v>8</v>
      </c>
      <c r="C16" s="153">
        <f t="shared" si="10"/>
        <v>8</v>
      </c>
      <c r="D16" s="154">
        <f t="shared" si="11"/>
        <v>60</v>
      </c>
      <c r="E16" s="154">
        <f t="shared" si="11"/>
        <v>112</v>
      </c>
      <c r="F16" s="154">
        <f t="shared" si="11"/>
        <v>164</v>
      </c>
      <c r="G16" s="154">
        <f t="shared" si="11"/>
        <v>216</v>
      </c>
      <c r="H16" s="154">
        <f t="shared" si="11"/>
        <v>268</v>
      </c>
      <c r="I16" s="154">
        <f t="shared" si="11"/>
        <v>320</v>
      </c>
      <c r="J16" s="154">
        <f t="shared" si="11"/>
        <v>372</v>
      </c>
      <c r="K16" s="154">
        <f t="shared" si="11"/>
        <v>424</v>
      </c>
      <c r="L16" s="154">
        <f t="shared" si="11"/>
        <v>476</v>
      </c>
      <c r="M16" s="154">
        <f t="shared" si="7"/>
        <v>528</v>
      </c>
      <c r="N16" s="154">
        <f t="shared" si="7"/>
        <v>580</v>
      </c>
    </row>
    <row r="17" spans="1:14" ht="13.5" customHeight="1">
      <c r="A17" s="17"/>
      <c r="B17" s="150" t="s">
        <v>10</v>
      </c>
      <c r="C17" s="153">
        <f t="shared" si="10"/>
        <v>9</v>
      </c>
      <c r="D17" s="154">
        <f t="shared" si="11"/>
        <v>61</v>
      </c>
      <c r="E17" s="154">
        <f t="shared" si="11"/>
        <v>113</v>
      </c>
      <c r="F17" s="154">
        <f t="shared" si="11"/>
        <v>165</v>
      </c>
      <c r="G17" s="154">
        <f t="shared" si="11"/>
        <v>217</v>
      </c>
      <c r="H17" s="154">
        <f t="shared" si="11"/>
        <v>269</v>
      </c>
      <c r="I17" s="154">
        <f t="shared" si="11"/>
        <v>321</v>
      </c>
      <c r="J17" s="154">
        <f t="shared" si="11"/>
        <v>373</v>
      </c>
      <c r="K17" s="154">
        <f t="shared" si="11"/>
        <v>425</v>
      </c>
      <c r="L17" s="154">
        <f t="shared" si="11"/>
        <v>477</v>
      </c>
      <c r="M17" s="154">
        <f t="shared" si="7"/>
        <v>529</v>
      </c>
      <c r="N17" s="154">
        <f t="shared" si="7"/>
        <v>581</v>
      </c>
    </row>
    <row r="18" spans="1:14" ht="13.5" customHeight="1">
      <c r="A18" s="17"/>
      <c r="B18" s="150" t="s">
        <v>12</v>
      </c>
      <c r="C18" s="153">
        <f t="shared" si="10"/>
        <v>10</v>
      </c>
      <c r="D18" s="154">
        <f t="shared" si="11"/>
        <v>62</v>
      </c>
      <c r="E18" s="154">
        <f t="shared" si="11"/>
        <v>114</v>
      </c>
      <c r="F18" s="154">
        <f t="shared" si="11"/>
        <v>166</v>
      </c>
      <c r="G18" s="154">
        <f t="shared" si="11"/>
        <v>218</v>
      </c>
      <c r="H18" s="154">
        <f t="shared" si="11"/>
        <v>270</v>
      </c>
      <c r="I18" s="154">
        <f t="shared" si="11"/>
        <v>322</v>
      </c>
      <c r="J18" s="154">
        <f t="shared" si="11"/>
        <v>374</v>
      </c>
      <c r="K18" s="154">
        <f t="shared" si="11"/>
        <v>426</v>
      </c>
      <c r="L18" s="154">
        <f t="shared" si="11"/>
        <v>478</v>
      </c>
      <c r="M18" s="154">
        <f t="shared" si="7"/>
        <v>530</v>
      </c>
      <c r="N18" s="154">
        <f t="shared" si="7"/>
        <v>582</v>
      </c>
    </row>
    <row r="19" spans="1:14" ht="13.5" customHeight="1">
      <c r="A19" s="17"/>
      <c r="B19" s="150" t="s">
        <v>14</v>
      </c>
      <c r="C19" s="153">
        <f t="shared" si="10"/>
        <v>11</v>
      </c>
      <c r="D19" s="154">
        <f t="shared" si="11"/>
        <v>63</v>
      </c>
      <c r="E19" s="154">
        <f t="shared" si="11"/>
        <v>115</v>
      </c>
      <c r="F19" s="154">
        <f t="shared" si="11"/>
        <v>167</v>
      </c>
      <c r="G19" s="154">
        <f t="shared" si="11"/>
        <v>219</v>
      </c>
      <c r="H19" s="154">
        <f t="shared" si="11"/>
        <v>271</v>
      </c>
      <c r="I19" s="154">
        <f t="shared" si="11"/>
        <v>323</v>
      </c>
      <c r="J19" s="154">
        <f t="shared" si="11"/>
        <v>375</v>
      </c>
      <c r="K19" s="154">
        <f t="shared" si="11"/>
        <v>427</v>
      </c>
      <c r="L19" s="154">
        <f t="shared" si="11"/>
        <v>479</v>
      </c>
      <c r="M19" s="154">
        <f t="shared" si="7"/>
        <v>531</v>
      </c>
      <c r="N19" s="154">
        <f t="shared" si="7"/>
        <v>583</v>
      </c>
    </row>
    <row r="20" spans="1:14" ht="13.5" customHeight="1">
      <c r="A20" s="17"/>
      <c r="B20" s="150" t="s">
        <v>45</v>
      </c>
      <c r="C20" s="153">
        <f t="shared" si="10"/>
        <v>12</v>
      </c>
      <c r="D20" s="154">
        <f t="shared" si="11"/>
        <v>64</v>
      </c>
      <c r="E20" s="154">
        <f t="shared" si="11"/>
        <v>116</v>
      </c>
      <c r="F20" s="154">
        <f t="shared" si="11"/>
        <v>168</v>
      </c>
      <c r="G20" s="154">
        <f t="shared" si="11"/>
        <v>220</v>
      </c>
      <c r="H20" s="154">
        <f t="shared" si="11"/>
        <v>272</v>
      </c>
      <c r="I20" s="154">
        <f t="shared" si="11"/>
        <v>324</v>
      </c>
      <c r="J20" s="154">
        <f t="shared" si="11"/>
        <v>376</v>
      </c>
      <c r="K20" s="154">
        <f t="shared" si="11"/>
        <v>428</v>
      </c>
      <c r="L20" s="154">
        <f t="shared" si="11"/>
        <v>480</v>
      </c>
      <c r="M20" s="154">
        <f t="shared" si="7"/>
        <v>532</v>
      </c>
      <c r="N20" s="154">
        <f t="shared" si="7"/>
        <v>584</v>
      </c>
    </row>
    <row r="21" spans="1:14" ht="13.5" customHeight="1">
      <c r="A21" s="17"/>
      <c r="B21" s="150" t="s">
        <v>46</v>
      </c>
      <c r="C21" s="153">
        <f t="shared" si="10"/>
        <v>13</v>
      </c>
      <c r="D21" s="154">
        <f t="shared" si="11"/>
        <v>65</v>
      </c>
      <c r="E21" s="154">
        <f t="shared" si="11"/>
        <v>117</v>
      </c>
      <c r="F21" s="154">
        <f t="shared" si="11"/>
        <v>169</v>
      </c>
      <c r="G21" s="154">
        <f t="shared" si="11"/>
        <v>221</v>
      </c>
      <c r="H21" s="154">
        <f t="shared" si="11"/>
        <v>273</v>
      </c>
      <c r="I21" s="154">
        <f t="shared" si="11"/>
        <v>325</v>
      </c>
      <c r="J21" s="154">
        <f t="shared" si="11"/>
        <v>377</v>
      </c>
      <c r="K21" s="154">
        <f t="shared" si="11"/>
        <v>429</v>
      </c>
      <c r="L21" s="154">
        <f t="shared" si="11"/>
        <v>481</v>
      </c>
      <c r="M21" s="154">
        <f t="shared" si="7"/>
        <v>533</v>
      </c>
      <c r="N21" s="154">
        <f t="shared" si="7"/>
        <v>585</v>
      </c>
    </row>
    <row r="22" spans="1:14" ht="13.5" customHeight="1">
      <c r="A22" s="17"/>
      <c r="B22" s="150" t="s">
        <v>47</v>
      </c>
      <c r="C22" s="153">
        <f t="shared" si="10"/>
        <v>14</v>
      </c>
      <c r="D22" s="154">
        <f t="shared" si="11"/>
        <v>66</v>
      </c>
      <c r="E22" s="154">
        <f t="shared" si="11"/>
        <v>118</v>
      </c>
      <c r="F22" s="154">
        <f t="shared" si="11"/>
        <v>170</v>
      </c>
      <c r="G22" s="154">
        <f t="shared" si="11"/>
        <v>222</v>
      </c>
      <c r="H22" s="154">
        <f t="shared" si="11"/>
        <v>274</v>
      </c>
      <c r="I22" s="154">
        <f t="shared" si="11"/>
        <v>326</v>
      </c>
      <c r="J22" s="154">
        <f t="shared" si="11"/>
        <v>378</v>
      </c>
      <c r="K22" s="154">
        <f t="shared" si="11"/>
        <v>430</v>
      </c>
      <c r="L22" s="154">
        <f t="shared" si="11"/>
        <v>482</v>
      </c>
      <c r="M22" s="154">
        <f t="shared" si="7"/>
        <v>534</v>
      </c>
      <c r="N22" s="154">
        <f t="shared" si="7"/>
        <v>586</v>
      </c>
    </row>
    <row r="23" spans="1:14" ht="13.5" customHeight="1">
      <c r="A23" s="17"/>
      <c r="B23" s="155" t="s">
        <v>48</v>
      </c>
      <c r="C23" s="156">
        <f t="shared" si="10"/>
        <v>15</v>
      </c>
      <c r="D23" s="157">
        <f t="shared" si="11"/>
        <v>67</v>
      </c>
      <c r="E23" s="157">
        <f t="shared" si="11"/>
        <v>119</v>
      </c>
      <c r="F23" s="157">
        <f t="shared" si="11"/>
        <v>171</v>
      </c>
      <c r="G23" s="157">
        <f t="shared" si="11"/>
        <v>223</v>
      </c>
      <c r="H23" s="157">
        <f t="shared" si="11"/>
        <v>275</v>
      </c>
      <c r="I23" s="157">
        <f t="shared" si="11"/>
        <v>327</v>
      </c>
      <c r="J23" s="157">
        <f t="shared" si="11"/>
        <v>379</v>
      </c>
      <c r="K23" s="157">
        <f t="shared" si="11"/>
        <v>431</v>
      </c>
      <c r="L23" s="157">
        <f t="shared" si="11"/>
        <v>483</v>
      </c>
      <c r="M23" s="157">
        <f t="shared" si="7"/>
        <v>535</v>
      </c>
      <c r="N23" s="157">
        <f t="shared" si="7"/>
        <v>587</v>
      </c>
    </row>
    <row r="24" spans="1:14" ht="13.5" customHeight="1">
      <c r="A24" s="17"/>
      <c r="B24" s="150" t="s">
        <v>17</v>
      </c>
      <c r="C24" s="153">
        <f t="shared" si="10"/>
        <v>16</v>
      </c>
      <c r="D24" s="154">
        <f t="shared" si="11"/>
        <v>68</v>
      </c>
      <c r="E24" s="154">
        <f t="shared" si="11"/>
        <v>120</v>
      </c>
      <c r="F24" s="154">
        <f t="shared" si="11"/>
        <v>172</v>
      </c>
      <c r="G24" s="154">
        <f t="shared" si="11"/>
        <v>224</v>
      </c>
      <c r="H24" s="154">
        <f t="shared" si="11"/>
        <v>276</v>
      </c>
      <c r="I24" s="154">
        <f t="shared" si="11"/>
        <v>328</v>
      </c>
      <c r="J24" s="154">
        <f t="shared" si="11"/>
        <v>380</v>
      </c>
      <c r="K24" s="154">
        <f t="shared" si="11"/>
        <v>432</v>
      </c>
      <c r="L24" s="154">
        <f t="shared" si="11"/>
        <v>484</v>
      </c>
      <c r="M24" s="154">
        <f t="shared" si="7"/>
        <v>536</v>
      </c>
      <c r="N24" s="154">
        <f t="shared" si="7"/>
        <v>588</v>
      </c>
    </row>
    <row r="25" spans="1:14" ht="13.5" customHeight="1">
      <c r="A25" s="17"/>
      <c r="B25" s="150" t="s">
        <v>18</v>
      </c>
      <c r="C25" s="153">
        <f t="shared" si="10"/>
        <v>17</v>
      </c>
      <c r="D25" s="154">
        <f t="shared" si="11"/>
        <v>69</v>
      </c>
      <c r="E25" s="154">
        <f t="shared" si="11"/>
        <v>121</v>
      </c>
      <c r="F25" s="154">
        <f t="shared" si="11"/>
        <v>173</v>
      </c>
      <c r="G25" s="154">
        <f t="shared" si="11"/>
        <v>225</v>
      </c>
      <c r="H25" s="154">
        <f t="shared" si="11"/>
        <v>277</v>
      </c>
      <c r="I25" s="154">
        <f t="shared" si="11"/>
        <v>329</v>
      </c>
      <c r="J25" s="154">
        <f t="shared" si="11"/>
        <v>381</v>
      </c>
      <c r="K25" s="154">
        <f t="shared" si="11"/>
        <v>433</v>
      </c>
      <c r="L25" s="154">
        <f t="shared" si="11"/>
        <v>485</v>
      </c>
      <c r="M25" s="154">
        <f t="shared" si="7"/>
        <v>537</v>
      </c>
      <c r="N25" s="154">
        <f t="shared" si="7"/>
        <v>589</v>
      </c>
    </row>
    <row r="26" spans="1:14" ht="13.5" customHeight="1">
      <c r="A26" s="17"/>
      <c r="B26" s="150" t="s">
        <v>19</v>
      </c>
      <c r="C26" s="153">
        <f t="shared" si="10"/>
        <v>18</v>
      </c>
      <c r="D26" s="154">
        <f t="shared" si="11"/>
        <v>70</v>
      </c>
      <c r="E26" s="154">
        <f t="shared" si="11"/>
        <v>122</v>
      </c>
      <c r="F26" s="154">
        <f t="shared" si="11"/>
        <v>174</v>
      </c>
      <c r="G26" s="154">
        <f t="shared" si="11"/>
        <v>226</v>
      </c>
      <c r="H26" s="154">
        <f t="shared" si="11"/>
        <v>278</v>
      </c>
      <c r="I26" s="154">
        <f t="shared" si="11"/>
        <v>330</v>
      </c>
      <c r="J26" s="154">
        <f t="shared" si="11"/>
        <v>382</v>
      </c>
      <c r="K26" s="154">
        <f t="shared" si="11"/>
        <v>434</v>
      </c>
      <c r="L26" s="154">
        <f t="shared" si="11"/>
        <v>486</v>
      </c>
      <c r="M26" s="154">
        <f t="shared" si="7"/>
        <v>538</v>
      </c>
      <c r="N26" s="154">
        <f t="shared" si="7"/>
        <v>590</v>
      </c>
    </row>
    <row r="27" spans="1:14" ht="13.5" customHeight="1">
      <c r="A27" s="17"/>
      <c r="B27" s="150" t="s">
        <v>20</v>
      </c>
      <c r="C27" s="153">
        <f t="shared" si="10"/>
        <v>19</v>
      </c>
      <c r="D27" s="154">
        <f t="shared" si="11"/>
        <v>71</v>
      </c>
      <c r="E27" s="154">
        <f t="shared" si="11"/>
        <v>123</v>
      </c>
      <c r="F27" s="154">
        <f t="shared" si="11"/>
        <v>175</v>
      </c>
      <c r="G27" s="154">
        <f t="shared" si="11"/>
        <v>227</v>
      </c>
      <c r="H27" s="154">
        <f t="shared" si="11"/>
        <v>279</v>
      </c>
      <c r="I27" s="154">
        <f t="shared" si="11"/>
        <v>331</v>
      </c>
      <c r="J27" s="154">
        <f t="shared" si="11"/>
        <v>383</v>
      </c>
      <c r="K27" s="154">
        <f t="shared" si="11"/>
        <v>435</v>
      </c>
      <c r="L27" s="154">
        <f t="shared" si="11"/>
        <v>487</v>
      </c>
      <c r="M27" s="154">
        <f t="shared" si="7"/>
        <v>539</v>
      </c>
      <c r="N27" s="154">
        <f t="shared" si="7"/>
        <v>591</v>
      </c>
    </row>
    <row r="28" spans="1:14" ht="13.5" customHeight="1">
      <c r="A28" s="17"/>
      <c r="B28" s="150" t="s">
        <v>21</v>
      </c>
      <c r="C28" s="153">
        <f t="shared" si="10"/>
        <v>20</v>
      </c>
      <c r="D28" s="154">
        <f t="shared" si="11"/>
        <v>72</v>
      </c>
      <c r="E28" s="154">
        <f t="shared" si="11"/>
        <v>124</v>
      </c>
      <c r="F28" s="154">
        <f t="shared" si="11"/>
        <v>176</v>
      </c>
      <c r="G28" s="154">
        <f t="shared" si="11"/>
        <v>228</v>
      </c>
      <c r="H28" s="154">
        <f t="shared" si="11"/>
        <v>280</v>
      </c>
      <c r="I28" s="154">
        <f t="shared" si="11"/>
        <v>332</v>
      </c>
      <c r="J28" s="154">
        <f t="shared" si="11"/>
        <v>384</v>
      </c>
      <c r="K28" s="154">
        <f t="shared" si="11"/>
        <v>436</v>
      </c>
      <c r="L28" s="154">
        <f t="shared" si="11"/>
        <v>488</v>
      </c>
      <c r="M28" s="154">
        <f t="shared" ref="M28:N59" si="12">L28+M$9</f>
        <v>540</v>
      </c>
      <c r="N28" s="154">
        <f t="shared" si="12"/>
        <v>592</v>
      </c>
    </row>
    <row r="29" spans="1:14" ht="13.5" customHeight="1">
      <c r="A29" s="17"/>
      <c r="B29" s="150" t="s">
        <v>22</v>
      </c>
      <c r="C29" s="153">
        <f t="shared" si="10"/>
        <v>21</v>
      </c>
      <c r="D29" s="154">
        <f t="shared" si="11"/>
        <v>73</v>
      </c>
      <c r="E29" s="154">
        <f t="shared" si="11"/>
        <v>125</v>
      </c>
      <c r="F29" s="154">
        <f t="shared" si="11"/>
        <v>177</v>
      </c>
      <c r="G29" s="154">
        <f t="shared" si="11"/>
        <v>229</v>
      </c>
      <c r="H29" s="154">
        <f t="shared" si="11"/>
        <v>281</v>
      </c>
      <c r="I29" s="154">
        <f t="shared" si="11"/>
        <v>333</v>
      </c>
      <c r="J29" s="154">
        <f t="shared" si="11"/>
        <v>385</v>
      </c>
      <c r="K29" s="154">
        <f t="shared" si="11"/>
        <v>437</v>
      </c>
      <c r="L29" s="154">
        <f t="shared" si="11"/>
        <v>489</v>
      </c>
      <c r="M29" s="154">
        <f t="shared" si="12"/>
        <v>541</v>
      </c>
      <c r="N29" s="154">
        <f t="shared" si="12"/>
        <v>593</v>
      </c>
    </row>
    <row r="30" spans="1:14" ht="13.5" customHeight="1">
      <c r="A30" s="17"/>
      <c r="B30" s="150" t="s">
        <v>23</v>
      </c>
      <c r="C30" s="153">
        <f t="shared" si="10"/>
        <v>22</v>
      </c>
      <c r="D30" s="154">
        <f t="shared" si="11"/>
        <v>74</v>
      </c>
      <c r="E30" s="154">
        <f t="shared" si="11"/>
        <v>126</v>
      </c>
      <c r="F30" s="154">
        <f t="shared" si="11"/>
        <v>178</v>
      </c>
      <c r="G30" s="154">
        <f t="shared" si="11"/>
        <v>230</v>
      </c>
      <c r="H30" s="154">
        <f t="shared" si="11"/>
        <v>282</v>
      </c>
      <c r="I30" s="154">
        <f t="shared" si="11"/>
        <v>334</v>
      </c>
      <c r="J30" s="154">
        <f t="shared" si="11"/>
        <v>386</v>
      </c>
      <c r="K30" s="154">
        <f t="shared" si="11"/>
        <v>438</v>
      </c>
      <c r="L30" s="154">
        <f t="shared" si="11"/>
        <v>490</v>
      </c>
      <c r="M30" s="154">
        <f t="shared" si="12"/>
        <v>542</v>
      </c>
      <c r="N30" s="154">
        <f t="shared" si="12"/>
        <v>594</v>
      </c>
    </row>
    <row r="31" spans="1:14" ht="13.5" customHeight="1">
      <c r="A31" s="17"/>
      <c r="B31" s="150" t="s">
        <v>24</v>
      </c>
      <c r="C31" s="153">
        <f t="shared" si="10"/>
        <v>23</v>
      </c>
      <c r="D31" s="154">
        <f t="shared" si="11"/>
        <v>75</v>
      </c>
      <c r="E31" s="154">
        <f t="shared" si="11"/>
        <v>127</v>
      </c>
      <c r="F31" s="154">
        <f t="shared" si="11"/>
        <v>179</v>
      </c>
      <c r="G31" s="154">
        <f t="shared" si="11"/>
        <v>231</v>
      </c>
      <c r="H31" s="154">
        <f t="shared" si="11"/>
        <v>283</v>
      </c>
      <c r="I31" s="154">
        <f t="shared" si="11"/>
        <v>335</v>
      </c>
      <c r="J31" s="154">
        <f t="shared" si="11"/>
        <v>387</v>
      </c>
      <c r="K31" s="154">
        <f t="shared" si="11"/>
        <v>439</v>
      </c>
      <c r="L31" s="154">
        <f t="shared" si="11"/>
        <v>491</v>
      </c>
      <c r="M31" s="154">
        <f t="shared" si="12"/>
        <v>543</v>
      </c>
      <c r="N31" s="154">
        <f t="shared" si="12"/>
        <v>595</v>
      </c>
    </row>
    <row r="32" spans="1:14" ht="13.5" customHeight="1">
      <c r="A32" s="17"/>
      <c r="B32" s="155" t="s">
        <v>25</v>
      </c>
      <c r="C32" s="156">
        <f t="shared" si="10"/>
        <v>24</v>
      </c>
      <c r="D32" s="157">
        <f t="shared" si="11"/>
        <v>76</v>
      </c>
      <c r="E32" s="157">
        <f t="shared" si="11"/>
        <v>128</v>
      </c>
      <c r="F32" s="157">
        <f t="shared" si="11"/>
        <v>180</v>
      </c>
      <c r="G32" s="157">
        <f t="shared" si="11"/>
        <v>232</v>
      </c>
      <c r="H32" s="157">
        <f t="shared" si="11"/>
        <v>284</v>
      </c>
      <c r="I32" s="157">
        <f t="shared" si="11"/>
        <v>336</v>
      </c>
      <c r="J32" s="157">
        <f t="shared" si="11"/>
        <v>388</v>
      </c>
      <c r="K32" s="157">
        <f t="shared" si="11"/>
        <v>440</v>
      </c>
      <c r="L32" s="157">
        <f t="shared" si="11"/>
        <v>492</v>
      </c>
      <c r="M32" s="157">
        <f t="shared" si="12"/>
        <v>544</v>
      </c>
      <c r="N32" s="157">
        <f t="shared" si="12"/>
        <v>596</v>
      </c>
    </row>
    <row r="33" spans="1:14" ht="13.5" customHeight="1">
      <c r="A33" s="17"/>
      <c r="B33" s="150" t="s">
        <v>26</v>
      </c>
      <c r="C33" s="153">
        <f t="shared" si="10"/>
        <v>25</v>
      </c>
      <c r="D33" s="154">
        <f t="shared" si="11"/>
        <v>77</v>
      </c>
      <c r="E33" s="154">
        <f t="shared" si="11"/>
        <v>129</v>
      </c>
      <c r="F33" s="154">
        <f t="shared" si="11"/>
        <v>181</v>
      </c>
      <c r="G33" s="154">
        <f t="shared" si="11"/>
        <v>233</v>
      </c>
      <c r="H33" s="154">
        <f t="shared" si="11"/>
        <v>285</v>
      </c>
      <c r="I33" s="154">
        <f t="shared" si="11"/>
        <v>337</v>
      </c>
      <c r="J33" s="154">
        <f t="shared" si="11"/>
        <v>389</v>
      </c>
      <c r="K33" s="154">
        <f t="shared" si="11"/>
        <v>441</v>
      </c>
      <c r="L33" s="154">
        <f t="shared" si="11"/>
        <v>493</v>
      </c>
      <c r="M33" s="154">
        <f t="shared" si="12"/>
        <v>545</v>
      </c>
      <c r="N33" s="154">
        <f t="shared" si="12"/>
        <v>597</v>
      </c>
    </row>
    <row r="34" spans="1:14" ht="13.5" customHeight="1">
      <c r="A34" s="17"/>
      <c r="B34" s="150" t="s">
        <v>27</v>
      </c>
      <c r="C34" s="153">
        <f t="shared" si="10"/>
        <v>26</v>
      </c>
      <c r="D34" s="154">
        <f t="shared" si="11"/>
        <v>78</v>
      </c>
      <c r="E34" s="154">
        <f t="shared" si="11"/>
        <v>130</v>
      </c>
      <c r="F34" s="154">
        <f t="shared" si="11"/>
        <v>182</v>
      </c>
      <c r="G34" s="154">
        <f t="shared" si="11"/>
        <v>234</v>
      </c>
      <c r="H34" s="154">
        <f t="shared" si="11"/>
        <v>286</v>
      </c>
      <c r="I34" s="154">
        <f t="shared" si="11"/>
        <v>338</v>
      </c>
      <c r="J34" s="154">
        <f t="shared" si="11"/>
        <v>390</v>
      </c>
      <c r="K34" s="154">
        <f t="shared" si="11"/>
        <v>442</v>
      </c>
      <c r="L34" s="154">
        <f t="shared" si="11"/>
        <v>494</v>
      </c>
      <c r="M34" s="154">
        <f t="shared" si="12"/>
        <v>546</v>
      </c>
      <c r="N34" s="154">
        <f t="shared" si="12"/>
        <v>598</v>
      </c>
    </row>
    <row r="35" spans="1:14" ht="13.5" customHeight="1">
      <c r="A35" s="17"/>
      <c r="B35" s="150" t="s">
        <v>28</v>
      </c>
      <c r="C35" s="153">
        <f t="shared" si="10"/>
        <v>27</v>
      </c>
      <c r="D35" s="154">
        <f t="shared" si="11"/>
        <v>79</v>
      </c>
      <c r="E35" s="154">
        <f t="shared" si="11"/>
        <v>131</v>
      </c>
      <c r="F35" s="154">
        <f t="shared" si="11"/>
        <v>183</v>
      </c>
      <c r="G35" s="154">
        <f t="shared" si="11"/>
        <v>235</v>
      </c>
      <c r="H35" s="154">
        <f t="shared" si="11"/>
        <v>287</v>
      </c>
      <c r="I35" s="154">
        <f t="shared" si="11"/>
        <v>339</v>
      </c>
      <c r="J35" s="154">
        <f t="shared" si="11"/>
        <v>391</v>
      </c>
      <c r="K35" s="154">
        <f t="shared" si="11"/>
        <v>443</v>
      </c>
      <c r="L35" s="154">
        <f t="shared" si="11"/>
        <v>495</v>
      </c>
      <c r="M35" s="154">
        <f t="shared" si="12"/>
        <v>547</v>
      </c>
      <c r="N35" s="154">
        <f t="shared" si="12"/>
        <v>599</v>
      </c>
    </row>
    <row r="36" spans="1:14" ht="13.5" customHeight="1">
      <c r="A36" s="17"/>
      <c r="B36" s="150" t="s">
        <v>29</v>
      </c>
      <c r="C36" s="153">
        <f t="shared" si="10"/>
        <v>28</v>
      </c>
      <c r="D36" s="154">
        <f t="shared" si="11"/>
        <v>80</v>
      </c>
      <c r="E36" s="154">
        <f t="shared" si="11"/>
        <v>132</v>
      </c>
      <c r="F36" s="154">
        <f t="shared" si="11"/>
        <v>184</v>
      </c>
      <c r="G36" s="154">
        <f t="shared" si="11"/>
        <v>236</v>
      </c>
      <c r="H36" s="154">
        <f t="shared" si="11"/>
        <v>288</v>
      </c>
      <c r="I36" s="154">
        <f t="shared" si="11"/>
        <v>340</v>
      </c>
      <c r="J36" s="154">
        <f t="shared" si="11"/>
        <v>392</v>
      </c>
      <c r="K36" s="154">
        <f t="shared" si="11"/>
        <v>444</v>
      </c>
      <c r="L36" s="154">
        <f t="shared" si="11"/>
        <v>496</v>
      </c>
      <c r="M36" s="154">
        <f t="shared" si="12"/>
        <v>548</v>
      </c>
      <c r="N36" s="154">
        <f t="shared" si="12"/>
        <v>600</v>
      </c>
    </row>
    <row r="37" spans="1:14" ht="13.5" customHeight="1">
      <c r="A37" s="17"/>
      <c r="B37" s="150" t="s">
        <v>30</v>
      </c>
      <c r="C37" s="153">
        <f t="shared" si="10"/>
        <v>29</v>
      </c>
      <c r="D37" s="154">
        <f t="shared" si="11"/>
        <v>81</v>
      </c>
      <c r="E37" s="154">
        <f t="shared" si="11"/>
        <v>133</v>
      </c>
      <c r="F37" s="154">
        <f t="shared" si="11"/>
        <v>185</v>
      </c>
      <c r="G37" s="154">
        <f t="shared" si="11"/>
        <v>237</v>
      </c>
      <c r="H37" s="154">
        <f t="shared" si="11"/>
        <v>289</v>
      </c>
      <c r="I37" s="154">
        <f t="shared" si="11"/>
        <v>341</v>
      </c>
      <c r="J37" s="154">
        <f t="shared" si="11"/>
        <v>393</v>
      </c>
      <c r="K37" s="154">
        <f t="shared" si="11"/>
        <v>445</v>
      </c>
      <c r="L37" s="154">
        <f t="shared" si="11"/>
        <v>497</v>
      </c>
      <c r="M37" s="154">
        <f t="shared" si="12"/>
        <v>549</v>
      </c>
      <c r="N37" s="154">
        <f t="shared" si="12"/>
        <v>601</v>
      </c>
    </row>
    <row r="38" spans="1:14" ht="13.5" customHeight="1">
      <c r="A38" s="17"/>
      <c r="B38" s="155" t="s">
        <v>31</v>
      </c>
      <c r="C38" s="156">
        <f t="shared" si="10"/>
        <v>30</v>
      </c>
      <c r="D38" s="157">
        <f t="shared" si="11"/>
        <v>82</v>
      </c>
      <c r="E38" s="157">
        <f t="shared" si="11"/>
        <v>134</v>
      </c>
      <c r="F38" s="157">
        <f t="shared" si="11"/>
        <v>186</v>
      </c>
      <c r="G38" s="157">
        <f t="shared" si="11"/>
        <v>238</v>
      </c>
      <c r="H38" s="157">
        <f t="shared" si="11"/>
        <v>290</v>
      </c>
      <c r="I38" s="157">
        <f t="shared" si="11"/>
        <v>342</v>
      </c>
      <c r="J38" s="157">
        <f t="shared" si="11"/>
        <v>394</v>
      </c>
      <c r="K38" s="157">
        <f t="shared" si="11"/>
        <v>446</v>
      </c>
      <c r="L38" s="157">
        <f t="shared" si="11"/>
        <v>498</v>
      </c>
      <c r="M38" s="157">
        <f t="shared" si="12"/>
        <v>550</v>
      </c>
      <c r="N38" s="157">
        <f t="shared" si="12"/>
        <v>602</v>
      </c>
    </row>
    <row r="39" spans="1:14" ht="13.5" customHeight="1">
      <c r="A39" s="17"/>
      <c r="B39" s="150" t="s">
        <v>32</v>
      </c>
      <c r="C39" s="153">
        <f t="shared" si="10"/>
        <v>31</v>
      </c>
      <c r="D39" s="154">
        <f t="shared" si="11"/>
        <v>83</v>
      </c>
      <c r="E39" s="154">
        <f t="shared" si="11"/>
        <v>135</v>
      </c>
      <c r="F39" s="154">
        <f t="shared" si="11"/>
        <v>187</v>
      </c>
      <c r="G39" s="154">
        <f t="shared" si="11"/>
        <v>239</v>
      </c>
      <c r="H39" s="154">
        <f t="shared" si="11"/>
        <v>291</v>
      </c>
      <c r="I39" s="154">
        <f t="shared" si="11"/>
        <v>343</v>
      </c>
      <c r="J39" s="154">
        <f t="shared" si="11"/>
        <v>395</v>
      </c>
      <c r="K39" s="154">
        <f t="shared" si="11"/>
        <v>447</v>
      </c>
      <c r="L39" s="154">
        <f t="shared" si="11"/>
        <v>499</v>
      </c>
      <c r="M39" s="154">
        <f t="shared" si="12"/>
        <v>551</v>
      </c>
      <c r="N39" s="154">
        <f t="shared" si="12"/>
        <v>603</v>
      </c>
    </row>
    <row r="40" spans="1:14" ht="13.5" customHeight="1">
      <c r="A40" s="17"/>
      <c r="B40" s="150" t="s">
        <v>33</v>
      </c>
      <c r="C40" s="153">
        <f t="shared" si="10"/>
        <v>32</v>
      </c>
      <c r="D40" s="154">
        <f t="shared" si="11"/>
        <v>84</v>
      </c>
      <c r="E40" s="154">
        <f t="shared" si="11"/>
        <v>136</v>
      </c>
      <c r="F40" s="154">
        <f t="shared" ref="E40:L55" si="13">E40+F$9</f>
        <v>188</v>
      </c>
      <c r="G40" s="154">
        <f t="shared" si="13"/>
        <v>240</v>
      </c>
      <c r="H40" s="154">
        <f t="shared" si="13"/>
        <v>292</v>
      </c>
      <c r="I40" s="154">
        <f t="shared" si="13"/>
        <v>344</v>
      </c>
      <c r="J40" s="154">
        <f t="shared" si="13"/>
        <v>396</v>
      </c>
      <c r="K40" s="154">
        <f t="shared" si="13"/>
        <v>448</v>
      </c>
      <c r="L40" s="154">
        <f t="shared" si="13"/>
        <v>500</v>
      </c>
      <c r="M40" s="154">
        <f t="shared" si="12"/>
        <v>552</v>
      </c>
      <c r="N40" s="154">
        <f t="shared" si="12"/>
        <v>604</v>
      </c>
    </row>
    <row r="41" spans="1:14" ht="13.5" customHeight="1">
      <c r="A41" s="17"/>
      <c r="B41" s="150" t="s">
        <v>34</v>
      </c>
      <c r="C41" s="153">
        <f t="shared" si="10"/>
        <v>33</v>
      </c>
      <c r="D41" s="154">
        <f t="shared" si="11"/>
        <v>85</v>
      </c>
      <c r="E41" s="154">
        <f t="shared" si="13"/>
        <v>137</v>
      </c>
      <c r="F41" s="154">
        <f t="shared" si="13"/>
        <v>189</v>
      </c>
      <c r="G41" s="154">
        <f t="shared" si="13"/>
        <v>241</v>
      </c>
      <c r="H41" s="154">
        <f t="shared" si="13"/>
        <v>293</v>
      </c>
      <c r="I41" s="154">
        <f t="shared" si="13"/>
        <v>345</v>
      </c>
      <c r="J41" s="154">
        <f t="shared" si="13"/>
        <v>397</v>
      </c>
      <c r="K41" s="154">
        <f t="shared" si="13"/>
        <v>449</v>
      </c>
      <c r="L41" s="154">
        <f t="shared" si="13"/>
        <v>501</v>
      </c>
      <c r="M41" s="154">
        <f t="shared" si="12"/>
        <v>553</v>
      </c>
      <c r="N41" s="154">
        <f t="shared" si="12"/>
        <v>605</v>
      </c>
    </row>
    <row r="42" spans="1:14" ht="13.5" customHeight="1">
      <c r="A42" s="17"/>
      <c r="B42" s="150" t="s">
        <v>35</v>
      </c>
      <c r="C42" s="153">
        <f t="shared" si="10"/>
        <v>34</v>
      </c>
      <c r="D42" s="154">
        <f t="shared" si="11"/>
        <v>86</v>
      </c>
      <c r="E42" s="154">
        <f t="shared" si="13"/>
        <v>138</v>
      </c>
      <c r="F42" s="154">
        <f t="shared" si="13"/>
        <v>190</v>
      </c>
      <c r="G42" s="154">
        <f t="shared" si="13"/>
        <v>242</v>
      </c>
      <c r="H42" s="154">
        <f t="shared" si="13"/>
        <v>294</v>
      </c>
      <c r="I42" s="154">
        <f t="shared" si="13"/>
        <v>346</v>
      </c>
      <c r="J42" s="154">
        <f t="shared" si="13"/>
        <v>398</v>
      </c>
      <c r="K42" s="154">
        <f t="shared" si="13"/>
        <v>450</v>
      </c>
      <c r="L42" s="154">
        <f t="shared" si="13"/>
        <v>502</v>
      </c>
      <c r="M42" s="154">
        <f t="shared" si="12"/>
        <v>554</v>
      </c>
      <c r="N42" s="154">
        <f t="shared" si="12"/>
        <v>606</v>
      </c>
    </row>
    <row r="43" spans="1:14" ht="13.5" customHeight="1">
      <c r="A43" s="17"/>
      <c r="B43" s="150" t="s">
        <v>36</v>
      </c>
      <c r="C43" s="153">
        <f t="shared" si="10"/>
        <v>35</v>
      </c>
      <c r="D43" s="154">
        <f t="shared" si="11"/>
        <v>87</v>
      </c>
      <c r="E43" s="154">
        <f t="shared" si="13"/>
        <v>139</v>
      </c>
      <c r="F43" s="154">
        <f t="shared" si="13"/>
        <v>191</v>
      </c>
      <c r="G43" s="154">
        <f t="shared" si="13"/>
        <v>243</v>
      </c>
      <c r="H43" s="154">
        <f t="shared" si="13"/>
        <v>295</v>
      </c>
      <c r="I43" s="154">
        <f t="shared" si="13"/>
        <v>347</v>
      </c>
      <c r="J43" s="154">
        <f t="shared" si="13"/>
        <v>399</v>
      </c>
      <c r="K43" s="154">
        <f t="shared" si="13"/>
        <v>451</v>
      </c>
      <c r="L43" s="154">
        <f t="shared" si="13"/>
        <v>503</v>
      </c>
      <c r="M43" s="154">
        <f t="shared" si="12"/>
        <v>555</v>
      </c>
      <c r="N43" s="154">
        <f t="shared" si="12"/>
        <v>607</v>
      </c>
    </row>
    <row r="44" spans="1:14" ht="13.5" customHeight="1">
      <c r="A44" s="17"/>
      <c r="B44" s="150" t="s">
        <v>37</v>
      </c>
      <c r="C44" s="153">
        <f t="shared" si="10"/>
        <v>36</v>
      </c>
      <c r="D44" s="154">
        <f t="shared" si="11"/>
        <v>88</v>
      </c>
      <c r="E44" s="154">
        <f t="shared" si="13"/>
        <v>140</v>
      </c>
      <c r="F44" s="154">
        <f t="shared" si="13"/>
        <v>192</v>
      </c>
      <c r="G44" s="154">
        <f t="shared" si="13"/>
        <v>244</v>
      </c>
      <c r="H44" s="154">
        <f t="shared" si="13"/>
        <v>296</v>
      </c>
      <c r="I44" s="154">
        <f t="shared" si="13"/>
        <v>348</v>
      </c>
      <c r="J44" s="154">
        <f t="shared" si="13"/>
        <v>400</v>
      </c>
      <c r="K44" s="154">
        <f t="shared" si="13"/>
        <v>452</v>
      </c>
      <c r="L44" s="154">
        <f t="shared" si="13"/>
        <v>504</v>
      </c>
      <c r="M44" s="154">
        <f t="shared" si="12"/>
        <v>556</v>
      </c>
      <c r="N44" s="154">
        <f t="shared" si="12"/>
        <v>608</v>
      </c>
    </row>
    <row r="45" spans="1:14" ht="13.5" customHeight="1">
      <c r="A45" s="17"/>
      <c r="B45" s="150" t="s">
        <v>38</v>
      </c>
      <c r="C45" s="153">
        <f t="shared" si="10"/>
        <v>37</v>
      </c>
      <c r="D45" s="154">
        <f t="shared" si="11"/>
        <v>89</v>
      </c>
      <c r="E45" s="154">
        <f t="shared" si="13"/>
        <v>141</v>
      </c>
      <c r="F45" s="154">
        <f t="shared" si="13"/>
        <v>193</v>
      </c>
      <c r="G45" s="154">
        <f t="shared" si="13"/>
        <v>245</v>
      </c>
      <c r="H45" s="154">
        <f t="shared" si="13"/>
        <v>297</v>
      </c>
      <c r="I45" s="154">
        <f t="shared" si="13"/>
        <v>349</v>
      </c>
      <c r="J45" s="154">
        <f t="shared" si="13"/>
        <v>401</v>
      </c>
      <c r="K45" s="154">
        <f t="shared" si="13"/>
        <v>453</v>
      </c>
      <c r="L45" s="154">
        <f t="shared" si="13"/>
        <v>505</v>
      </c>
      <c r="M45" s="154">
        <f t="shared" si="12"/>
        <v>557</v>
      </c>
      <c r="N45" s="154">
        <f t="shared" si="12"/>
        <v>609</v>
      </c>
    </row>
    <row r="46" spans="1:14" ht="13.5" customHeight="1">
      <c r="A46" s="17"/>
      <c r="B46" s="150" t="s">
        <v>39</v>
      </c>
      <c r="C46" s="153">
        <f t="shared" si="10"/>
        <v>38</v>
      </c>
      <c r="D46" s="154">
        <f t="shared" si="11"/>
        <v>90</v>
      </c>
      <c r="E46" s="154">
        <f t="shared" si="13"/>
        <v>142</v>
      </c>
      <c r="F46" s="154">
        <f t="shared" si="13"/>
        <v>194</v>
      </c>
      <c r="G46" s="154">
        <f t="shared" si="13"/>
        <v>246</v>
      </c>
      <c r="H46" s="154">
        <f t="shared" si="13"/>
        <v>298</v>
      </c>
      <c r="I46" s="154">
        <f t="shared" si="13"/>
        <v>350</v>
      </c>
      <c r="J46" s="154">
        <f t="shared" si="13"/>
        <v>402</v>
      </c>
      <c r="K46" s="154">
        <f t="shared" si="13"/>
        <v>454</v>
      </c>
      <c r="L46" s="154">
        <f t="shared" si="13"/>
        <v>506</v>
      </c>
      <c r="M46" s="154">
        <f t="shared" si="12"/>
        <v>558</v>
      </c>
      <c r="N46" s="154">
        <f t="shared" si="12"/>
        <v>610</v>
      </c>
    </row>
    <row r="47" spans="1:14" ht="13.5" customHeight="1">
      <c r="A47" s="17"/>
      <c r="B47" s="150" t="s">
        <v>40</v>
      </c>
      <c r="C47" s="153">
        <f t="shared" si="10"/>
        <v>39</v>
      </c>
      <c r="D47" s="154">
        <f t="shared" si="11"/>
        <v>91</v>
      </c>
      <c r="E47" s="154">
        <f t="shared" si="13"/>
        <v>143</v>
      </c>
      <c r="F47" s="154">
        <f t="shared" si="13"/>
        <v>195</v>
      </c>
      <c r="G47" s="154">
        <f t="shared" si="13"/>
        <v>247</v>
      </c>
      <c r="H47" s="154">
        <f t="shared" si="13"/>
        <v>299</v>
      </c>
      <c r="I47" s="154">
        <f t="shared" si="13"/>
        <v>351</v>
      </c>
      <c r="J47" s="154">
        <f t="shared" si="13"/>
        <v>403</v>
      </c>
      <c r="K47" s="154">
        <f t="shared" si="13"/>
        <v>455</v>
      </c>
      <c r="L47" s="154">
        <f t="shared" si="13"/>
        <v>507</v>
      </c>
      <c r="M47" s="154">
        <f t="shared" si="12"/>
        <v>559</v>
      </c>
      <c r="N47" s="154">
        <f t="shared" si="12"/>
        <v>611</v>
      </c>
    </row>
    <row r="48" spans="1:14" ht="13.5" customHeight="1">
      <c r="A48" s="17"/>
      <c r="B48" s="150" t="s">
        <v>41</v>
      </c>
      <c r="C48" s="153">
        <f t="shared" si="10"/>
        <v>40</v>
      </c>
      <c r="D48" s="154">
        <f t="shared" si="11"/>
        <v>92</v>
      </c>
      <c r="E48" s="154">
        <f t="shared" si="13"/>
        <v>144</v>
      </c>
      <c r="F48" s="154">
        <f t="shared" si="13"/>
        <v>196</v>
      </c>
      <c r="G48" s="154">
        <f t="shared" si="13"/>
        <v>248</v>
      </c>
      <c r="H48" s="154">
        <f t="shared" si="13"/>
        <v>300</v>
      </c>
      <c r="I48" s="154">
        <f t="shared" si="13"/>
        <v>352</v>
      </c>
      <c r="J48" s="154">
        <f t="shared" si="13"/>
        <v>404</v>
      </c>
      <c r="K48" s="154">
        <f t="shared" si="13"/>
        <v>456</v>
      </c>
      <c r="L48" s="154">
        <f t="shared" si="13"/>
        <v>508</v>
      </c>
      <c r="M48" s="154">
        <f t="shared" si="12"/>
        <v>560</v>
      </c>
      <c r="N48" s="154">
        <f t="shared" si="12"/>
        <v>612</v>
      </c>
    </row>
    <row r="49" spans="1:14" ht="13.5" customHeight="1">
      <c r="A49" s="17"/>
      <c r="B49" s="150" t="s">
        <v>49</v>
      </c>
      <c r="C49" s="153">
        <f t="shared" si="10"/>
        <v>41</v>
      </c>
      <c r="D49" s="154">
        <f t="shared" si="11"/>
        <v>93</v>
      </c>
      <c r="E49" s="154">
        <f t="shared" si="13"/>
        <v>145</v>
      </c>
      <c r="F49" s="154">
        <f t="shared" si="13"/>
        <v>197</v>
      </c>
      <c r="G49" s="154">
        <f t="shared" si="13"/>
        <v>249</v>
      </c>
      <c r="H49" s="154">
        <f t="shared" si="13"/>
        <v>301</v>
      </c>
      <c r="I49" s="154">
        <f t="shared" si="13"/>
        <v>353</v>
      </c>
      <c r="J49" s="154">
        <f t="shared" si="13"/>
        <v>405</v>
      </c>
      <c r="K49" s="154">
        <f t="shared" si="13"/>
        <v>457</v>
      </c>
      <c r="L49" s="154">
        <f t="shared" si="13"/>
        <v>509</v>
      </c>
      <c r="M49" s="154">
        <f t="shared" si="12"/>
        <v>561</v>
      </c>
      <c r="N49" s="154">
        <f t="shared" si="12"/>
        <v>613</v>
      </c>
    </row>
    <row r="50" spans="1:14" ht="13.5" customHeight="1">
      <c r="A50" s="17"/>
      <c r="B50" s="155" t="s">
        <v>50</v>
      </c>
      <c r="C50" s="156">
        <f t="shared" si="10"/>
        <v>42</v>
      </c>
      <c r="D50" s="157">
        <f t="shared" si="11"/>
        <v>94</v>
      </c>
      <c r="E50" s="157">
        <f t="shared" si="13"/>
        <v>146</v>
      </c>
      <c r="F50" s="157">
        <f t="shared" si="13"/>
        <v>198</v>
      </c>
      <c r="G50" s="157">
        <f t="shared" si="13"/>
        <v>250</v>
      </c>
      <c r="H50" s="157">
        <f t="shared" si="13"/>
        <v>302</v>
      </c>
      <c r="I50" s="157">
        <f t="shared" si="13"/>
        <v>354</v>
      </c>
      <c r="J50" s="157">
        <f t="shared" si="13"/>
        <v>406</v>
      </c>
      <c r="K50" s="157">
        <f t="shared" si="13"/>
        <v>458</v>
      </c>
      <c r="L50" s="157">
        <f t="shared" si="13"/>
        <v>510</v>
      </c>
      <c r="M50" s="157">
        <f t="shared" si="12"/>
        <v>562</v>
      </c>
      <c r="N50" s="157">
        <f t="shared" si="12"/>
        <v>614</v>
      </c>
    </row>
    <row r="51" spans="1:14" ht="13.5" customHeight="1">
      <c r="A51" s="17"/>
      <c r="B51" s="155" t="s">
        <v>42</v>
      </c>
      <c r="C51" s="156">
        <f t="shared" si="10"/>
        <v>43</v>
      </c>
      <c r="D51" s="157">
        <f t="shared" si="11"/>
        <v>95</v>
      </c>
      <c r="E51" s="157">
        <f t="shared" si="13"/>
        <v>147</v>
      </c>
      <c r="F51" s="157">
        <f t="shared" si="13"/>
        <v>199</v>
      </c>
      <c r="G51" s="157">
        <f t="shared" si="13"/>
        <v>251</v>
      </c>
      <c r="H51" s="157">
        <f t="shared" si="13"/>
        <v>303</v>
      </c>
      <c r="I51" s="157">
        <f t="shared" si="13"/>
        <v>355</v>
      </c>
      <c r="J51" s="157">
        <f t="shared" si="13"/>
        <v>407</v>
      </c>
      <c r="K51" s="157">
        <f t="shared" si="13"/>
        <v>459</v>
      </c>
      <c r="L51" s="157">
        <f t="shared" si="13"/>
        <v>511</v>
      </c>
      <c r="M51" s="157">
        <f t="shared" si="12"/>
        <v>563</v>
      </c>
      <c r="N51" s="157">
        <f t="shared" si="12"/>
        <v>615</v>
      </c>
    </row>
    <row r="52" spans="1:14" ht="13.5" customHeight="1">
      <c r="A52" s="17"/>
      <c r="B52" s="150" t="s">
        <v>43</v>
      </c>
      <c r="C52" s="153">
        <f t="shared" si="10"/>
        <v>44</v>
      </c>
      <c r="D52" s="154">
        <f t="shared" si="11"/>
        <v>96</v>
      </c>
      <c r="E52" s="154">
        <f t="shared" si="13"/>
        <v>148</v>
      </c>
      <c r="F52" s="154">
        <f t="shared" si="13"/>
        <v>200</v>
      </c>
      <c r="G52" s="154">
        <f t="shared" si="13"/>
        <v>252</v>
      </c>
      <c r="H52" s="154">
        <f t="shared" si="13"/>
        <v>304</v>
      </c>
      <c r="I52" s="154">
        <f t="shared" si="13"/>
        <v>356</v>
      </c>
      <c r="J52" s="154">
        <f t="shared" si="13"/>
        <v>408</v>
      </c>
      <c r="K52" s="154">
        <f t="shared" si="13"/>
        <v>460</v>
      </c>
      <c r="L52" s="154">
        <f t="shared" si="13"/>
        <v>512</v>
      </c>
      <c r="M52" s="154">
        <f t="shared" si="12"/>
        <v>564</v>
      </c>
      <c r="N52" s="154">
        <f t="shared" si="12"/>
        <v>616</v>
      </c>
    </row>
    <row r="53" spans="1:14" ht="13.5" customHeight="1">
      <c r="A53" s="17"/>
      <c r="B53" s="155" t="s">
        <v>44</v>
      </c>
      <c r="C53" s="156">
        <f t="shared" si="10"/>
        <v>45</v>
      </c>
      <c r="D53" s="157">
        <f t="shared" si="11"/>
        <v>97</v>
      </c>
      <c r="E53" s="157">
        <f t="shared" si="13"/>
        <v>149</v>
      </c>
      <c r="F53" s="157">
        <f t="shared" si="13"/>
        <v>201</v>
      </c>
      <c r="G53" s="157">
        <f t="shared" si="13"/>
        <v>253</v>
      </c>
      <c r="H53" s="157">
        <f t="shared" si="13"/>
        <v>305</v>
      </c>
      <c r="I53" s="157">
        <f t="shared" si="13"/>
        <v>357</v>
      </c>
      <c r="J53" s="157">
        <f t="shared" si="13"/>
        <v>409</v>
      </c>
      <c r="K53" s="157">
        <f t="shared" si="13"/>
        <v>461</v>
      </c>
      <c r="L53" s="157">
        <f t="shared" si="13"/>
        <v>513</v>
      </c>
      <c r="M53" s="157">
        <f t="shared" si="12"/>
        <v>565</v>
      </c>
      <c r="N53" s="157">
        <f t="shared" si="12"/>
        <v>617</v>
      </c>
    </row>
    <row r="54" spans="1:14" ht="13.5" customHeight="1">
      <c r="A54" s="168"/>
      <c r="B54" s="158" t="s">
        <v>139</v>
      </c>
      <c r="C54" s="153">
        <f t="shared" si="10"/>
        <v>46</v>
      </c>
      <c r="D54" s="154">
        <f t="shared" si="11"/>
        <v>98</v>
      </c>
      <c r="E54" s="154">
        <f t="shared" si="13"/>
        <v>150</v>
      </c>
      <c r="F54" s="154">
        <f t="shared" si="13"/>
        <v>202</v>
      </c>
      <c r="G54" s="154">
        <f t="shared" si="13"/>
        <v>254</v>
      </c>
      <c r="H54" s="154">
        <f t="shared" si="13"/>
        <v>306</v>
      </c>
      <c r="I54" s="154">
        <f t="shared" si="13"/>
        <v>358</v>
      </c>
      <c r="J54" s="154">
        <f t="shared" si="13"/>
        <v>410</v>
      </c>
      <c r="K54" s="154">
        <f t="shared" si="13"/>
        <v>462</v>
      </c>
      <c r="L54" s="154">
        <f t="shared" si="13"/>
        <v>514</v>
      </c>
      <c r="M54" s="154">
        <f t="shared" si="12"/>
        <v>566</v>
      </c>
      <c r="N54" s="154">
        <f t="shared" si="12"/>
        <v>618</v>
      </c>
    </row>
    <row r="55" spans="1:14" ht="13.5" customHeight="1">
      <c r="A55" s="168"/>
      <c r="B55" s="150" t="s">
        <v>140</v>
      </c>
      <c r="C55" s="153">
        <f t="shared" si="10"/>
        <v>47</v>
      </c>
      <c r="D55" s="154">
        <f t="shared" si="11"/>
        <v>99</v>
      </c>
      <c r="E55" s="154">
        <f t="shared" si="13"/>
        <v>151</v>
      </c>
      <c r="F55" s="154">
        <f t="shared" si="13"/>
        <v>203</v>
      </c>
      <c r="G55" s="154">
        <f t="shared" si="13"/>
        <v>255</v>
      </c>
      <c r="H55" s="154">
        <f t="shared" si="13"/>
        <v>307</v>
      </c>
      <c r="I55" s="154">
        <f t="shared" si="13"/>
        <v>359</v>
      </c>
      <c r="J55" s="154">
        <f t="shared" si="13"/>
        <v>411</v>
      </c>
      <c r="K55" s="154">
        <f t="shared" si="13"/>
        <v>463</v>
      </c>
      <c r="L55" s="154">
        <f t="shared" si="13"/>
        <v>515</v>
      </c>
      <c r="M55" s="154">
        <f t="shared" si="12"/>
        <v>567</v>
      </c>
      <c r="N55" s="154">
        <f t="shared" si="12"/>
        <v>619</v>
      </c>
    </row>
    <row r="56" spans="1:14" ht="13.5" customHeight="1">
      <c r="A56" s="168"/>
      <c r="B56" s="150" t="s">
        <v>141</v>
      </c>
      <c r="C56" s="153">
        <f t="shared" si="10"/>
        <v>48</v>
      </c>
      <c r="D56" s="154">
        <f t="shared" si="11"/>
        <v>100</v>
      </c>
      <c r="E56" s="154">
        <f t="shared" ref="E56:L59" si="14">D56+E$9</f>
        <v>152</v>
      </c>
      <c r="F56" s="154">
        <f t="shared" si="14"/>
        <v>204</v>
      </c>
      <c r="G56" s="154">
        <f t="shared" si="14"/>
        <v>256</v>
      </c>
      <c r="H56" s="154">
        <f t="shared" si="14"/>
        <v>308</v>
      </c>
      <c r="I56" s="154">
        <f t="shared" si="14"/>
        <v>360</v>
      </c>
      <c r="J56" s="154">
        <f t="shared" si="14"/>
        <v>412</v>
      </c>
      <c r="K56" s="154">
        <f t="shared" si="14"/>
        <v>464</v>
      </c>
      <c r="L56" s="154">
        <f t="shared" si="14"/>
        <v>516</v>
      </c>
      <c r="M56" s="154">
        <f t="shared" si="12"/>
        <v>568</v>
      </c>
      <c r="N56" s="154">
        <f t="shared" si="12"/>
        <v>620</v>
      </c>
    </row>
    <row r="57" spans="1:14" ht="13.5" customHeight="1">
      <c r="A57" s="168"/>
      <c r="B57" s="150" t="s">
        <v>142</v>
      </c>
      <c r="C57" s="153">
        <f t="shared" si="10"/>
        <v>49</v>
      </c>
      <c r="D57" s="154">
        <f t="shared" si="11"/>
        <v>101</v>
      </c>
      <c r="E57" s="154">
        <f t="shared" si="14"/>
        <v>153</v>
      </c>
      <c r="F57" s="154">
        <f t="shared" si="14"/>
        <v>205</v>
      </c>
      <c r="G57" s="154">
        <f t="shared" si="14"/>
        <v>257</v>
      </c>
      <c r="H57" s="154">
        <f t="shared" si="14"/>
        <v>309</v>
      </c>
      <c r="I57" s="154">
        <f t="shared" si="14"/>
        <v>361</v>
      </c>
      <c r="J57" s="154">
        <f t="shared" si="14"/>
        <v>413</v>
      </c>
      <c r="K57" s="154">
        <f t="shared" si="14"/>
        <v>465</v>
      </c>
      <c r="L57" s="154">
        <f t="shared" si="14"/>
        <v>517</v>
      </c>
      <c r="M57" s="154">
        <f t="shared" si="12"/>
        <v>569</v>
      </c>
      <c r="N57" s="154">
        <f t="shared" si="12"/>
        <v>621</v>
      </c>
    </row>
    <row r="58" spans="1:14" ht="13.5" customHeight="1">
      <c r="A58" s="168"/>
      <c r="B58" s="150" t="s">
        <v>143</v>
      </c>
      <c r="C58" s="153">
        <f t="shared" si="10"/>
        <v>50</v>
      </c>
      <c r="D58" s="154">
        <f t="shared" si="11"/>
        <v>102</v>
      </c>
      <c r="E58" s="154">
        <f t="shared" si="14"/>
        <v>154</v>
      </c>
      <c r="F58" s="154">
        <f t="shared" si="14"/>
        <v>206</v>
      </c>
      <c r="G58" s="154">
        <f t="shared" si="14"/>
        <v>258</v>
      </c>
      <c r="H58" s="154">
        <f t="shared" si="14"/>
        <v>310</v>
      </c>
      <c r="I58" s="154">
        <f t="shared" si="14"/>
        <v>362</v>
      </c>
      <c r="J58" s="154">
        <f t="shared" si="14"/>
        <v>414</v>
      </c>
      <c r="K58" s="154">
        <f t="shared" si="14"/>
        <v>466</v>
      </c>
      <c r="L58" s="154">
        <f t="shared" si="14"/>
        <v>518</v>
      </c>
      <c r="M58" s="154">
        <f t="shared" si="12"/>
        <v>570</v>
      </c>
      <c r="N58" s="154">
        <f t="shared" si="12"/>
        <v>622</v>
      </c>
    </row>
    <row r="59" spans="1:14" ht="13.5" customHeight="1">
      <c r="A59" s="168"/>
      <c r="B59" s="155" t="s">
        <v>144</v>
      </c>
      <c r="C59" s="156">
        <f t="shared" si="10"/>
        <v>51</v>
      </c>
      <c r="D59" s="157">
        <f t="shared" si="11"/>
        <v>103</v>
      </c>
      <c r="E59" s="157">
        <f t="shared" si="14"/>
        <v>155</v>
      </c>
      <c r="F59" s="157">
        <f t="shared" si="14"/>
        <v>207</v>
      </c>
      <c r="G59" s="157">
        <f t="shared" si="14"/>
        <v>259</v>
      </c>
      <c r="H59" s="157">
        <f t="shared" si="14"/>
        <v>311</v>
      </c>
      <c r="I59" s="157">
        <f t="shared" si="14"/>
        <v>363</v>
      </c>
      <c r="J59" s="157">
        <f t="shared" si="14"/>
        <v>415</v>
      </c>
      <c r="K59" s="157">
        <f t="shared" si="14"/>
        <v>467</v>
      </c>
      <c r="L59" s="157">
        <f t="shared" si="14"/>
        <v>519</v>
      </c>
      <c r="M59" s="157">
        <f t="shared" si="12"/>
        <v>571</v>
      </c>
      <c r="N59" s="157">
        <f t="shared" si="12"/>
        <v>623</v>
      </c>
    </row>
    <row r="60" spans="1:14" ht="13.5" customHeight="1">
      <c r="A60" s="69"/>
      <c r="B60" s="99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3.5" customHeight="1">
      <c r="A61" s="116" t="s">
        <v>163</v>
      </c>
      <c r="B61" s="116"/>
      <c r="L61" s="42"/>
      <c r="M61" s="42"/>
      <c r="N61" s="42"/>
    </row>
    <row r="62" spans="1:14" ht="13.5" customHeight="1">
      <c r="L62" s="42"/>
      <c r="M62" s="42"/>
      <c r="N62" s="42"/>
    </row>
    <row r="63" spans="1:14" ht="13.5" customHeight="1">
      <c r="B63" s="43" t="s">
        <v>96</v>
      </c>
      <c r="C63" s="43"/>
      <c r="L63" s="42"/>
      <c r="M63" s="42"/>
      <c r="N63" s="42"/>
    </row>
    <row r="64" spans="1:14" ht="13.5" customHeight="1" thickBot="1">
      <c r="B64" s="43"/>
      <c r="C64" s="43"/>
      <c r="L64" s="42"/>
      <c r="M64" s="42"/>
      <c r="N64" s="42"/>
    </row>
    <row r="65" spans="2:14" ht="13.5" customHeight="1" thickBot="1">
      <c r="B65" s="211" t="s">
        <v>170</v>
      </c>
      <c r="C65" s="212"/>
      <c r="L65" s="42"/>
      <c r="M65" s="42"/>
      <c r="N65" s="42"/>
    </row>
    <row r="66" spans="2:14" ht="13.5" customHeight="1">
      <c r="C66" s="137"/>
      <c r="L66" s="42"/>
      <c r="M66" s="42"/>
      <c r="N66" s="42"/>
    </row>
    <row r="67" spans="2:14" ht="13.5" customHeight="1">
      <c r="B67" s="48" t="s">
        <v>129</v>
      </c>
      <c r="C67" s="48" t="s">
        <v>135</v>
      </c>
      <c r="D67" s="48" t="s">
        <v>169</v>
      </c>
    </row>
    <row r="68" spans="2:14" ht="13.5" customHeight="1">
      <c r="B68" s="132" t="s">
        <v>51</v>
      </c>
      <c r="C68" s="101">
        <v>1</v>
      </c>
      <c r="D68" s="101" t="s">
        <v>76</v>
      </c>
      <c r="E68" s="24" t="s">
        <v>168</v>
      </c>
    </row>
    <row r="69" spans="2:14" ht="13.5" customHeight="1">
      <c r="B69" s="133" t="s">
        <v>52</v>
      </c>
      <c r="C69" s="102">
        <f>C68+1</f>
        <v>2</v>
      </c>
      <c r="D69" s="103" t="s">
        <v>77</v>
      </c>
      <c r="E69" s="24" t="s">
        <v>171</v>
      </c>
    </row>
    <row r="70" spans="2:14" ht="13.5" customHeight="1">
      <c r="B70" s="133" t="s">
        <v>53</v>
      </c>
      <c r="C70" s="102">
        <f t="shared" ref="C70:C93" si="15">C69+1</f>
        <v>3</v>
      </c>
      <c r="D70" s="103" t="s">
        <v>78</v>
      </c>
      <c r="L70" s="42"/>
      <c r="M70" s="42"/>
      <c r="N70" s="42"/>
    </row>
    <row r="71" spans="2:14" ht="13.5" customHeight="1">
      <c r="B71" s="133" t="s">
        <v>54</v>
      </c>
      <c r="C71" s="102">
        <f t="shared" si="15"/>
        <v>4</v>
      </c>
      <c r="D71" s="103" t="s">
        <v>79</v>
      </c>
    </row>
    <row r="72" spans="2:14" ht="13.5" customHeight="1">
      <c r="B72" s="133" t="s">
        <v>55</v>
      </c>
      <c r="C72" s="102">
        <f t="shared" si="15"/>
        <v>5</v>
      </c>
      <c r="D72" s="103" t="s">
        <v>80</v>
      </c>
    </row>
    <row r="73" spans="2:14" ht="13.5" customHeight="1">
      <c r="B73" s="133" t="s">
        <v>56</v>
      </c>
      <c r="C73" s="102">
        <f t="shared" si="15"/>
        <v>6</v>
      </c>
      <c r="D73" s="103" t="s">
        <v>81</v>
      </c>
    </row>
    <row r="74" spans="2:14" ht="13.5" customHeight="1">
      <c r="B74" s="133" t="s">
        <v>57</v>
      </c>
      <c r="C74" s="102">
        <f t="shared" si="15"/>
        <v>7</v>
      </c>
      <c r="D74" s="103" t="s">
        <v>82</v>
      </c>
    </row>
    <row r="75" spans="2:14" ht="13.5" customHeight="1">
      <c r="B75" s="133" t="s">
        <v>58</v>
      </c>
      <c r="C75" s="102">
        <f t="shared" si="15"/>
        <v>8</v>
      </c>
      <c r="D75" s="103" t="s">
        <v>83</v>
      </c>
    </row>
    <row r="76" spans="2:14" ht="13.5" customHeight="1">
      <c r="B76" s="133" t="s">
        <v>59</v>
      </c>
      <c r="C76" s="102">
        <f t="shared" si="15"/>
        <v>9</v>
      </c>
      <c r="D76" s="103" t="s">
        <v>84</v>
      </c>
    </row>
    <row r="77" spans="2:14" ht="13.5" customHeight="1">
      <c r="B77" s="133" t="s">
        <v>60</v>
      </c>
      <c r="C77" s="102">
        <f t="shared" si="15"/>
        <v>10</v>
      </c>
      <c r="D77" s="103" t="s">
        <v>85</v>
      </c>
    </row>
    <row r="78" spans="2:14" ht="13.5" customHeight="1">
      <c r="B78" s="133" t="s">
        <v>61</v>
      </c>
      <c r="C78" s="102">
        <f t="shared" si="15"/>
        <v>11</v>
      </c>
      <c r="D78" s="103" t="s">
        <v>86</v>
      </c>
    </row>
    <row r="79" spans="2:14" ht="13.5" customHeight="1">
      <c r="B79" s="133" t="s">
        <v>62</v>
      </c>
      <c r="C79" s="102">
        <f t="shared" si="15"/>
        <v>12</v>
      </c>
      <c r="D79" s="103" t="s">
        <v>87</v>
      </c>
    </row>
    <row r="80" spans="2:14" ht="13.5" customHeight="1">
      <c r="B80" s="133" t="s">
        <v>63</v>
      </c>
      <c r="C80" s="102">
        <f t="shared" si="15"/>
        <v>13</v>
      </c>
      <c r="D80" s="103" t="s">
        <v>88</v>
      </c>
    </row>
    <row r="81" spans="1:4" ht="13.5" customHeight="1">
      <c r="B81" s="133" t="s">
        <v>64</v>
      </c>
      <c r="C81" s="102">
        <f t="shared" si="15"/>
        <v>14</v>
      </c>
      <c r="D81" s="103" t="s">
        <v>89</v>
      </c>
    </row>
    <row r="82" spans="1:4" ht="13.5" customHeight="1">
      <c r="B82" s="133" t="s">
        <v>65</v>
      </c>
      <c r="C82" s="102">
        <f t="shared" si="15"/>
        <v>15</v>
      </c>
      <c r="D82" s="103" t="s">
        <v>90</v>
      </c>
    </row>
    <row r="83" spans="1:4" ht="13.5" customHeight="1">
      <c r="B83" s="133" t="s">
        <v>66</v>
      </c>
      <c r="C83" s="102">
        <f t="shared" si="15"/>
        <v>16</v>
      </c>
      <c r="D83" s="103" t="s">
        <v>91</v>
      </c>
    </row>
    <row r="84" spans="1:4" ht="13.5" customHeight="1">
      <c r="B84" s="133" t="s">
        <v>67</v>
      </c>
      <c r="C84" s="102">
        <f t="shared" si="15"/>
        <v>17</v>
      </c>
      <c r="D84" s="103" t="s">
        <v>92</v>
      </c>
    </row>
    <row r="85" spans="1:4" ht="13.5" customHeight="1">
      <c r="B85" s="133" t="s">
        <v>68</v>
      </c>
      <c r="C85" s="102">
        <f t="shared" si="15"/>
        <v>18</v>
      </c>
      <c r="D85" s="103" t="s">
        <v>93</v>
      </c>
    </row>
    <row r="86" spans="1:4" ht="13.5" customHeight="1">
      <c r="B86" s="133" t="s">
        <v>137</v>
      </c>
      <c r="C86" s="102">
        <f t="shared" si="15"/>
        <v>19</v>
      </c>
      <c r="D86" s="103" t="s">
        <v>130</v>
      </c>
    </row>
    <row r="87" spans="1:4" ht="13.5" customHeight="1">
      <c r="B87" s="133" t="s">
        <v>69</v>
      </c>
      <c r="C87" s="102">
        <f t="shared" si="15"/>
        <v>20</v>
      </c>
      <c r="D87" s="103" t="s">
        <v>105</v>
      </c>
    </row>
    <row r="88" spans="1:4" ht="13.5" customHeight="1" thickBot="1">
      <c r="B88" s="134" t="s">
        <v>136</v>
      </c>
      <c r="C88" s="106">
        <f t="shared" si="15"/>
        <v>21</v>
      </c>
      <c r="D88" s="107" t="s">
        <v>131</v>
      </c>
    </row>
    <row r="89" spans="1:4" ht="13.5" customHeight="1" thickTop="1">
      <c r="B89" s="133" t="s">
        <v>72</v>
      </c>
      <c r="C89" s="102">
        <f t="shared" si="15"/>
        <v>22</v>
      </c>
      <c r="D89" s="103" t="s">
        <v>132</v>
      </c>
    </row>
    <row r="90" spans="1:4" ht="13.5" customHeight="1">
      <c r="B90" s="135" t="s">
        <v>73</v>
      </c>
      <c r="C90" s="102">
        <f t="shared" si="15"/>
        <v>23</v>
      </c>
      <c r="D90" s="103" t="s">
        <v>133</v>
      </c>
    </row>
    <row r="91" spans="1:4" ht="13.5" customHeight="1">
      <c r="B91" s="136" t="s">
        <v>74</v>
      </c>
      <c r="C91" s="104">
        <f t="shared" si="15"/>
        <v>24</v>
      </c>
      <c r="D91" s="105" t="s">
        <v>134</v>
      </c>
    </row>
    <row r="92" spans="1:4" ht="13.5" customHeight="1">
      <c r="B92" s="297" t="s">
        <v>281</v>
      </c>
      <c r="C92" s="298">
        <f t="shared" si="15"/>
        <v>25</v>
      </c>
      <c r="D92" s="101" t="s">
        <v>283</v>
      </c>
    </row>
    <row r="93" spans="1:4" ht="13.5" customHeight="1">
      <c r="B93" s="136" t="s">
        <v>282</v>
      </c>
      <c r="C93" s="104">
        <f t="shared" si="15"/>
        <v>26</v>
      </c>
      <c r="D93" s="105" t="s">
        <v>284</v>
      </c>
    </row>
    <row r="94" spans="1:4" ht="13.5" customHeight="1">
      <c r="C94" s="100"/>
    </row>
    <row r="96" spans="1:4" ht="13.5" customHeight="1">
      <c r="A96" s="116" t="s">
        <v>164</v>
      </c>
      <c r="B96" s="116"/>
    </row>
    <row r="98" spans="2:14" ht="13.5" customHeight="1">
      <c r="B98" s="43" t="s">
        <v>267</v>
      </c>
      <c r="C98" s="43"/>
      <c r="G98" s="42"/>
    </row>
    <row r="99" spans="2:14" ht="13.5" customHeight="1" thickBot="1">
      <c r="D99" s="5"/>
      <c r="E99" s="5"/>
    </row>
    <row r="100" spans="2:14" ht="13.5" customHeight="1" thickBot="1">
      <c r="B100" s="144" t="s">
        <v>161</v>
      </c>
      <c r="C100" s="143">
        <f>INDEX(B108:D155,MATCH(地域分析BD!B2,B108:B155,0),3)</f>
        <v>5</v>
      </c>
      <c r="D100" s="5"/>
      <c r="E100" s="144" t="s">
        <v>145</v>
      </c>
      <c r="F100" s="143">
        <f>C7-C6</f>
        <v>52</v>
      </c>
    </row>
    <row r="101" spans="2:14" ht="13.5" customHeight="1">
      <c r="D101" s="137"/>
      <c r="G101" s="137"/>
    </row>
    <row r="102" spans="2:14" ht="13.5" customHeight="1">
      <c r="B102" s="140"/>
      <c r="C102" s="138">
        <f>C$10</f>
        <v>23</v>
      </c>
      <c r="D102" s="138">
        <f t="shared" ref="D102:N102" si="16">D$10</f>
        <v>24</v>
      </c>
      <c r="E102" s="138">
        <f t="shared" si="16"/>
        <v>25</v>
      </c>
      <c r="F102" s="138">
        <f t="shared" si="16"/>
        <v>26</v>
      </c>
      <c r="G102" s="138">
        <f t="shared" si="16"/>
        <v>27</v>
      </c>
      <c r="H102" s="138">
        <f t="shared" si="16"/>
        <v>28</v>
      </c>
      <c r="I102" s="138">
        <f t="shared" si="16"/>
        <v>29</v>
      </c>
      <c r="J102" s="138">
        <f t="shared" si="16"/>
        <v>30</v>
      </c>
      <c r="K102" s="138">
        <f t="shared" si="16"/>
        <v>1</v>
      </c>
      <c r="L102" s="138">
        <f t="shared" si="16"/>
        <v>2</v>
      </c>
      <c r="M102" s="138">
        <f t="shared" si="16"/>
        <v>3</v>
      </c>
      <c r="N102" s="138">
        <f t="shared" si="16"/>
        <v>4</v>
      </c>
    </row>
    <row r="103" spans="2:14" ht="13.5" customHeight="1">
      <c r="B103" s="141"/>
      <c r="C103" s="139">
        <f>C$11</f>
        <v>2011</v>
      </c>
      <c r="D103" s="139">
        <f t="shared" ref="D103:N103" si="17">D$11</f>
        <v>2012</v>
      </c>
      <c r="E103" s="139">
        <f t="shared" si="17"/>
        <v>2013</v>
      </c>
      <c r="F103" s="139">
        <f t="shared" si="17"/>
        <v>2014</v>
      </c>
      <c r="G103" s="139">
        <f t="shared" si="17"/>
        <v>2015</v>
      </c>
      <c r="H103" s="139">
        <f t="shared" si="17"/>
        <v>2016</v>
      </c>
      <c r="I103" s="139">
        <f t="shared" si="17"/>
        <v>2017</v>
      </c>
      <c r="J103" s="139">
        <f t="shared" si="17"/>
        <v>2018</v>
      </c>
      <c r="K103" s="139">
        <f t="shared" si="17"/>
        <v>2019</v>
      </c>
      <c r="L103" s="139">
        <f t="shared" si="17"/>
        <v>2020</v>
      </c>
      <c r="M103" s="139">
        <f t="shared" si="17"/>
        <v>2021</v>
      </c>
      <c r="N103" s="139">
        <f t="shared" si="17"/>
        <v>2022</v>
      </c>
    </row>
    <row r="104" spans="2:14" ht="13.5" customHeight="1">
      <c r="B104" s="145" t="s">
        <v>167</v>
      </c>
      <c r="C104" s="146">
        <f>C100</f>
        <v>5</v>
      </c>
      <c r="D104" s="147">
        <f t="shared" ref="D104:L104" si="18">C104+$F100</f>
        <v>57</v>
      </c>
      <c r="E104" s="147">
        <f t="shared" si="18"/>
        <v>109</v>
      </c>
      <c r="F104" s="147">
        <f t="shared" si="18"/>
        <v>161</v>
      </c>
      <c r="G104" s="147">
        <f t="shared" si="18"/>
        <v>213</v>
      </c>
      <c r="H104" s="147">
        <f t="shared" si="18"/>
        <v>265</v>
      </c>
      <c r="I104" s="147">
        <f t="shared" si="18"/>
        <v>317</v>
      </c>
      <c r="J104" s="147">
        <f t="shared" si="18"/>
        <v>369</v>
      </c>
      <c r="K104" s="147">
        <f t="shared" si="18"/>
        <v>421</v>
      </c>
      <c r="L104" s="147">
        <f t="shared" si="18"/>
        <v>473</v>
      </c>
      <c r="M104" s="147">
        <f t="shared" ref="M104" si="19">L104+$F100</f>
        <v>525</v>
      </c>
      <c r="N104" s="147">
        <f t="shared" ref="N104" si="20">M104+$F100</f>
        <v>577</v>
      </c>
    </row>
    <row r="105" spans="2:14" ht="13.5" customHeight="1">
      <c r="D105" s="137"/>
      <c r="G105" s="137"/>
    </row>
    <row r="106" spans="2:14" ht="13.5" customHeight="1" thickBot="1">
      <c r="B106" s="43" t="s">
        <v>221</v>
      </c>
      <c r="D106" s="137"/>
      <c r="F106" s="43" t="s">
        <v>222</v>
      </c>
      <c r="G106" s="137"/>
    </row>
    <row r="107" spans="2:14" ht="13.5" customHeight="1">
      <c r="B107" s="80" t="s">
        <v>166</v>
      </c>
      <c r="C107" s="80" t="s">
        <v>258</v>
      </c>
      <c r="D107" s="159" t="s">
        <v>165</v>
      </c>
      <c r="F107" s="182" t="s">
        <v>172</v>
      </c>
      <c r="G107" s="80" t="s">
        <v>206</v>
      </c>
      <c r="H107" s="182" t="s">
        <v>173</v>
      </c>
      <c r="I107" s="196" t="s">
        <v>225</v>
      </c>
      <c r="J107" s="190" t="s">
        <v>224</v>
      </c>
      <c r="K107" s="197" t="s">
        <v>223</v>
      </c>
    </row>
    <row r="108" spans="2:14" ht="13.5" customHeight="1">
      <c r="B108" s="101" t="s">
        <v>138</v>
      </c>
      <c r="C108" s="160" t="s">
        <v>138</v>
      </c>
      <c r="D108" s="142">
        <f>$C$6</f>
        <v>4</v>
      </c>
      <c r="E108" s="98"/>
      <c r="F108" s="183" t="s">
        <v>174</v>
      </c>
      <c r="G108" s="119" t="s">
        <v>197</v>
      </c>
      <c r="H108" s="181">
        <v>23</v>
      </c>
      <c r="I108" s="191">
        <f>IF(J108="","",IF(J108=23,"",IF(J108=1,30,(J108-1))))</f>
        <v>2</v>
      </c>
      <c r="J108" s="194">
        <f>IF(K108="","",IF(K108=23,"",IF(K108=1,30,(K108-1))))</f>
        <v>3</v>
      </c>
      <c r="K108" s="192">
        <f>INDEX(F108:H130,MATCH(地域分析!E2,F108:F130,0),3)</f>
        <v>4</v>
      </c>
    </row>
    <row r="109" spans="2:14" ht="13.5" customHeight="1">
      <c r="B109" s="103" t="s">
        <v>2</v>
      </c>
      <c r="C109" s="161" t="s">
        <v>142</v>
      </c>
      <c r="D109" s="120">
        <f t="shared" ref="D109:D155" si="21">D108+1</f>
        <v>5</v>
      </c>
      <c r="F109" s="184" t="s">
        <v>175</v>
      </c>
      <c r="G109" s="119" t="s">
        <v>198</v>
      </c>
      <c r="H109" s="189">
        <f>H108+1</f>
        <v>24</v>
      </c>
      <c r="I109" s="191" t="str">
        <f>IF(I108="","",INDEX(F108:H130,MATCH(I108,H108:H130,0),1))</f>
        <v>令和２年度</v>
      </c>
      <c r="J109" s="195" t="str">
        <f>IF(J108="","",INDEX(F108:H130,MATCH(J108,H108:H130,0),1))</f>
        <v>令和３年度</v>
      </c>
      <c r="K109" s="192" t="str">
        <f>INDEX(F108:H130,MATCH(K108,H108:H130,0),1)</f>
        <v>令和４年度</v>
      </c>
    </row>
    <row r="110" spans="2:14" ht="13.5" customHeight="1" thickBot="1">
      <c r="B110" s="103" t="s">
        <v>4</v>
      </c>
      <c r="C110" s="161" t="s">
        <v>140</v>
      </c>
      <c r="D110" s="120">
        <f t="shared" si="21"/>
        <v>6</v>
      </c>
      <c r="F110" s="184" t="s">
        <v>176</v>
      </c>
      <c r="G110" s="119" t="s">
        <v>199</v>
      </c>
      <c r="H110" s="189">
        <f t="shared" ref="H110:H115" si="22">H109+1</f>
        <v>25</v>
      </c>
      <c r="I110" s="193" t="str">
        <f>IF(I108="","",INDEX(F108:H130,MATCH(I108,H108:H130,0),2))</f>
        <v>R2</v>
      </c>
      <c r="J110" s="188" t="str">
        <f>IF(J108="","",INDEX(F108:H130,MATCH(J108,H108:H130,0),2))</f>
        <v>R3</v>
      </c>
      <c r="K110" s="187" t="str">
        <f>INDEX(F108:H130,MATCH(K108,H108:H130,0),2)</f>
        <v>R4</v>
      </c>
    </row>
    <row r="111" spans="2:14" ht="13.5" customHeight="1">
      <c r="B111" s="103" t="s">
        <v>6</v>
      </c>
      <c r="C111" s="161" t="s">
        <v>144</v>
      </c>
      <c r="D111" s="120">
        <f t="shared" si="21"/>
        <v>7</v>
      </c>
      <c r="F111" s="184" t="s">
        <v>177</v>
      </c>
      <c r="G111" s="119" t="s">
        <v>200</v>
      </c>
      <c r="H111" s="186">
        <f t="shared" si="22"/>
        <v>26</v>
      </c>
      <c r="K111" s="94" t="s">
        <v>276</v>
      </c>
    </row>
    <row r="112" spans="2:14" ht="13.5" customHeight="1">
      <c r="B112" s="103" t="s">
        <v>8</v>
      </c>
      <c r="C112" s="161" t="s">
        <v>140</v>
      </c>
      <c r="D112" s="120">
        <f t="shared" si="21"/>
        <v>8</v>
      </c>
      <c r="F112" s="184" t="s">
        <v>178</v>
      </c>
      <c r="G112" s="119" t="s">
        <v>201</v>
      </c>
      <c r="H112" s="186">
        <f t="shared" si="22"/>
        <v>27</v>
      </c>
    </row>
    <row r="113" spans="2:8" ht="13.5" customHeight="1">
      <c r="B113" s="103" t="s">
        <v>10</v>
      </c>
      <c r="C113" s="161" t="s">
        <v>139</v>
      </c>
      <c r="D113" s="120">
        <f t="shared" si="21"/>
        <v>9</v>
      </c>
      <c r="F113" s="184" t="s">
        <v>179</v>
      </c>
      <c r="G113" s="119" t="s">
        <v>202</v>
      </c>
      <c r="H113" s="186">
        <f t="shared" si="22"/>
        <v>28</v>
      </c>
    </row>
    <row r="114" spans="2:8" ht="13.5" customHeight="1">
      <c r="B114" s="103" t="s">
        <v>12</v>
      </c>
      <c r="C114" s="161" t="s">
        <v>141</v>
      </c>
      <c r="D114" s="120">
        <f t="shared" si="21"/>
        <v>10</v>
      </c>
      <c r="F114" s="184" t="s">
        <v>180</v>
      </c>
      <c r="G114" s="119" t="s">
        <v>203</v>
      </c>
      <c r="H114" s="186">
        <f t="shared" si="22"/>
        <v>29</v>
      </c>
    </row>
    <row r="115" spans="2:8" ht="13.5" customHeight="1">
      <c r="B115" s="103" t="s">
        <v>14</v>
      </c>
      <c r="C115" s="161" t="s">
        <v>140</v>
      </c>
      <c r="D115" s="120">
        <f t="shared" si="21"/>
        <v>11</v>
      </c>
      <c r="F115" s="184" t="s">
        <v>181</v>
      </c>
      <c r="G115" s="119" t="s">
        <v>204</v>
      </c>
      <c r="H115" s="186">
        <f t="shared" si="22"/>
        <v>30</v>
      </c>
    </row>
    <row r="116" spans="2:8" ht="13.5" customHeight="1">
      <c r="B116" s="103" t="s">
        <v>45</v>
      </c>
      <c r="C116" s="161" t="s">
        <v>141</v>
      </c>
      <c r="D116" s="120">
        <f t="shared" si="21"/>
        <v>12</v>
      </c>
      <c r="F116" s="184" t="s">
        <v>182</v>
      </c>
      <c r="G116" s="119" t="s">
        <v>205</v>
      </c>
      <c r="H116" s="119">
        <v>1</v>
      </c>
    </row>
    <row r="117" spans="2:8" ht="13.5" customHeight="1">
      <c r="B117" s="103" t="s">
        <v>46</v>
      </c>
      <c r="C117" s="161" t="s">
        <v>140</v>
      </c>
      <c r="D117" s="120">
        <f t="shared" si="21"/>
        <v>13</v>
      </c>
      <c r="F117" s="184" t="s">
        <v>183</v>
      </c>
      <c r="G117" s="119" t="s">
        <v>207</v>
      </c>
      <c r="H117" s="186">
        <f>H116+1</f>
        <v>2</v>
      </c>
    </row>
    <row r="118" spans="2:8" ht="13.5" customHeight="1">
      <c r="B118" s="103" t="s">
        <v>47</v>
      </c>
      <c r="C118" s="161" t="s">
        <v>143</v>
      </c>
      <c r="D118" s="120">
        <f t="shared" si="21"/>
        <v>14</v>
      </c>
      <c r="F118" s="184" t="s">
        <v>184</v>
      </c>
      <c r="G118" s="119" t="s">
        <v>208</v>
      </c>
      <c r="H118" s="186">
        <f t="shared" ref="H118:H130" si="23">H117+1</f>
        <v>3</v>
      </c>
    </row>
    <row r="119" spans="2:8" ht="13.5" customHeight="1">
      <c r="B119" s="103" t="s">
        <v>48</v>
      </c>
      <c r="C119" s="161" t="s">
        <v>141</v>
      </c>
      <c r="D119" s="120">
        <f t="shared" si="21"/>
        <v>15</v>
      </c>
      <c r="F119" s="184" t="s">
        <v>185</v>
      </c>
      <c r="G119" s="119" t="s">
        <v>209</v>
      </c>
      <c r="H119" s="186">
        <f t="shared" si="23"/>
        <v>4</v>
      </c>
    </row>
    <row r="120" spans="2:8" ht="13.5" customHeight="1">
      <c r="B120" s="103" t="s">
        <v>17</v>
      </c>
      <c r="C120" s="161" t="s">
        <v>139</v>
      </c>
      <c r="D120" s="120">
        <f t="shared" si="21"/>
        <v>16</v>
      </c>
      <c r="F120" s="184" t="s">
        <v>186</v>
      </c>
      <c r="G120" s="119" t="s">
        <v>210</v>
      </c>
      <c r="H120" s="186">
        <f t="shared" si="23"/>
        <v>5</v>
      </c>
    </row>
    <row r="121" spans="2:8" ht="13.5" customHeight="1">
      <c r="B121" s="103" t="s">
        <v>18</v>
      </c>
      <c r="C121" s="161" t="s">
        <v>139</v>
      </c>
      <c r="D121" s="120">
        <f t="shared" si="21"/>
        <v>17</v>
      </c>
      <c r="F121" s="184" t="s">
        <v>187</v>
      </c>
      <c r="G121" s="119" t="s">
        <v>211</v>
      </c>
      <c r="H121" s="186">
        <f t="shared" si="23"/>
        <v>6</v>
      </c>
    </row>
    <row r="122" spans="2:8" ht="13.5" customHeight="1">
      <c r="B122" s="103" t="s">
        <v>19</v>
      </c>
      <c r="C122" s="161" t="s">
        <v>139</v>
      </c>
      <c r="D122" s="120">
        <f t="shared" si="21"/>
        <v>18</v>
      </c>
      <c r="F122" s="184" t="s">
        <v>188</v>
      </c>
      <c r="G122" s="119" t="s">
        <v>212</v>
      </c>
      <c r="H122" s="186">
        <f t="shared" si="23"/>
        <v>7</v>
      </c>
    </row>
    <row r="123" spans="2:8" ht="13.5" customHeight="1">
      <c r="B123" s="103" t="s">
        <v>20</v>
      </c>
      <c r="C123" s="161" t="s">
        <v>139</v>
      </c>
      <c r="D123" s="120">
        <f t="shared" si="21"/>
        <v>19</v>
      </c>
      <c r="F123" s="184" t="s">
        <v>189</v>
      </c>
      <c r="G123" s="119" t="s">
        <v>213</v>
      </c>
      <c r="H123" s="186">
        <f t="shared" si="23"/>
        <v>8</v>
      </c>
    </row>
    <row r="124" spans="2:8" ht="13.5" customHeight="1">
      <c r="B124" s="103" t="s">
        <v>21</v>
      </c>
      <c r="C124" s="161" t="s">
        <v>139</v>
      </c>
      <c r="D124" s="120">
        <f t="shared" si="21"/>
        <v>20</v>
      </c>
      <c r="F124" s="184" t="s">
        <v>190</v>
      </c>
      <c r="G124" s="119" t="s">
        <v>214</v>
      </c>
      <c r="H124" s="186">
        <f t="shared" si="23"/>
        <v>9</v>
      </c>
    </row>
    <row r="125" spans="2:8" ht="13.5" customHeight="1">
      <c r="B125" s="103" t="s">
        <v>22</v>
      </c>
      <c r="C125" s="161" t="s">
        <v>139</v>
      </c>
      <c r="D125" s="120">
        <f t="shared" si="21"/>
        <v>21</v>
      </c>
      <c r="F125" s="184" t="s">
        <v>191</v>
      </c>
      <c r="G125" s="119" t="s">
        <v>215</v>
      </c>
      <c r="H125" s="186">
        <f t="shared" si="23"/>
        <v>10</v>
      </c>
    </row>
    <row r="126" spans="2:8" ht="13.5" customHeight="1">
      <c r="B126" s="103" t="s">
        <v>23</v>
      </c>
      <c r="C126" s="161" t="s">
        <v>139</v>
      </c>
      <c r="D126" s="120">
        <f t="shared" si="21"/>
        <v>22</v>
      </c>
      <c r="F126" s="184" t="s">
        <v>192</v>
      </c>
      <c r="G126" s="119" t="s">
        <v>216</v>
      </c>
      <c r="H126" s="186">
        <f t="shared" si="23"/>
        <v>11</v>
      </c>
    </row>
    <row r="127" spans="2:8" ht="13.5" customHeight="1">
      <c r="B127" s="103" t="s">
        <v>24</v>
      </c>
      <c r="C127" s="161" t="s">
        <v>139</v>
      </c>
      <c r="D127" s="120">
        <f t="shared" si="21"/>
        <v>23</v>
      </c>
      <c r="F127" s="184" t="s">
        <v>193</v>
      </c>
      <c r="G127" s="119" t="s">
        <v>217</v>
      </c>
      <c r="H127" s="186">
        <f t="shared" si="23"/>
        <v>12</v>
      </c>
    </row>
    <row r="128" spans="2:8" ht="13.5" customHeight="1">
      <c r="B128" s="103" t="s">
        <v>25</v>
      </c>
      <c r="C128" s="161" t="s">
        <v>139</v>
      </c>
      <c r="D128" s="120">
        <f t="shared" si="21"/>
        <v>24</v>
      </c>
      <c r="F128" s="184" t="s">
        <v>194</v>
      </c>
      <c r="G128" s="119" t="s">
        <v>218</v>
      </c>
      <c r="H128" s="186">
        <f t="shared" si="23"/>
        <v>13</v>
      </c>
    </row>
    <row r="129" spans="2:8" ht="13.5" customHeight="1">
      <c r="B129" s="103" t="s">
        <v>26</v>
      </c>
      <c r="C129" s="161" t="s">
        <v>140</v>
      </c>
      <c r="D129" s="120">
        <f t="shared" si="21"/>
        <v>25</v>
      </c>
      <c r="F129" s="184" t="s">
        <v>195</v>
      </c>
      <c r="G129" s="119" t="s">
        <v>219</v>
      </c>
      <c r="H129" s="186">
        <f t="shared" si="23"/>
        <v>14</v>
      </c>
    </row>
    <row r="130" spans="2:8" ht="13.5" customHeight="1">
      <c r="B130" s="119" t="s">
        <v>27</v>
      </c>
      <c r="C130" s="161" t="s">
        <v>140</v>
      </c>
      <c r="D130" s="120">
        <f t="shared" si="21"/>
        <v>26</v>
      </c>
      <c r="F130" s="185" t="s">
        <v>196</v>
      </c>
      <c r="G130" s="164" t="s">
        <v>220</v>
      </c>
      <c r="H130" s="139">
        <f t="shared" si="23"/>
        <v>15</v>
      </c>
    </row>
    <row r="131" spans="2:8" ht="13.5" customHeight="1">
      <c r="B131" s="119" t="s">
        <v>28</v>
      </c>
      <c r="C131" s="161" t="s">
        <v>140</v>
      </c>
      <c r="D131" s="120">
        <f t="shared" si="21"/>
        <v>27</v>
      </c>
    </row>
    <row r="132" spans="2:8" ht="13.5" customHeight="1">
      <c r="B132" s="119" t="s">
        <v>29</v>
      </c>
      <c r="C132" s="161" t="s">
        <v>140</v>
      </c>
      <c r="D132" s="120">
        <f t="shared" si="21"/>
        <v>28</v>
      </c>
    </row>
    <row r="133" spans="2:8" ht="13.5" customHeight="1">
      <c r="B133" s="119" t="s">
        <v>30</v>
      </c>
      <c r="C133" s="161" t="s">
        <v>140</v>
      </c>
      <c r="D133" s="120">
        <f t="shared" si="21"/>
        <v>29</v>
      </c>
    </row>
    <row r="134" spans="2:8" ht="13.5" customHeight="1">
      <c r="B134" s="119" t="s">
        <v>31</v>
      </c>
      <c r="C134" s="161" t="s">
        <v>140</v>
      </c>
      <c r="D134" s="120">
        <f t="shared" si="21"/>
        <v>30</v>
      </c>
    </row>
    <row r="135" spans="2:8" ht="13.5" customHeight="1">
      <c r="B135" s="119" t="s">
        <v>32</v>
      </c>
      <c r="C135" s="161" t="s">
        <v>141</v>
      </c>
      <c r="D135" s="120">
        <f t="shared" si="21"/>
        <v>31</v>
      </c>
    </row>
    <row r="136" spans="2:8" ht="13.5" customHeight="1">
      <c r="B136" s="119" t="s">
        <v>33</v>
      </c>
      <c r="C136" s="161" t="s">
        <v>141</v>
      </c>
      <c r="D136" s="120">
        <f t="shared" si="21"/>
        <v>32</v>
      </c>
    </row>
    <row r="137" spans="2:8" ht="13.5" customHeight="1">
      <c r="B137" s="119" t="s">
        <v>34</v>
      </c>
      <c r="C137" s="161" t="s">
        <v>141</v>
      </c>
      <c r="D137" s="120">
        <f t="shared" si="21"/>
        <v>33</v>
      </c>
    </row>
    <row r="138" spans="2:8" ht="13.5" customHeight="1">
      <c r="B138" s="119" t="s">
        <v>35</v>
      </c>
      <c r="C138" s="161" t="s">
        <v>141</v>
      </c>
      <c r="D138" s="120">
        <f t="shared" si="21"/>
        <v>34</v>
      </c>
    </row>
    <row r="139" spans="2:8" ht="13.5" customHeight="1">
      <c r="B139" s="119" t="s">
        <v>36</v>
      </c>
      <c r="C139" s="161" t="s">
        <v>141</v>
      </c>
      <c r="D139" s="120">
        <f t="shared" si="21"/>
        <v>35</v>
      </c>
    </row>
    <row r="140" spans="2:8" ht="13.5" customHeight="1">
      <c r="B140" s="119" t="s">
        <v>37</v>
      </c>
      <c r="C140" s="161" t="s">
        <v>141</v>
      </c>
      <c r="D140" s="120">
        <f t="shared" si="21"/>
        <v>36</v>
      </c>
    </row>
    <row r="141" spans="2:8" ht="13.5" customHeight="1">
      <c r="B141" s="119" t="s">
        <v>38</v>
      </c>
      <c r="C141" s="161" t="s">
        <v>141</v>
      </c>
      <c r="D141" s="120">
        <f t="shared" si="21"/>
        <v>37</v>
      </c>
    </row>
    <row r="142" spans="2:8" ht="13.5" customHeight="1">
      <c r="B142" s="119" t="s">
        <v>39</v>
      </c>
      <c r="C142" s="161" t="s">
        <v>141</v>
      </c>
      <c r="D142" s="120">
        <f t="shared" si="21"/>
        <v>38</v>
      </c>
    </row>
    <row r="143" spans="2:8" ht="13.5" customHeight="1">
      <c r="B143" s="119" t="s">
        <v>40</v>
      </c>
      <c r="C143" s="161" t="s">
        <v>139</v>
      </c>
      <c r="D143" s="120">
        <f t="shared" si="21"/>
        <v>39</v>
      </c>
    </row>
    <row r="144" spans="2:8" ht="13.5" customHeight="1">
      <c r="B144" s="119" t="s">
        <v>41</v>
      </c>
      <c r="C144" s="161" t="s">
        <v>139</v>
      </c>
      <c r="D144" s="120">
        <f t="shared" si="21"/>
        <v>40</v>
      </c>
    </row>
    <row r="145" spans="2:4" ht="13.5" customHeight="1">
      <c r="B145" s="119" t="s">
        <v>49</v>
      </c>
      <c r="C145" s="161" t="s">
        <v>141</v>
      </c>
      <c r="D145" s="120">
        <f t="shared" si="21"/>
        <v>41</v>
      </c>
    </row>
    <row r="146" spans="2:4" ht="13.5" customHeight="1">
      <c r="B146" s="119" t="s">
        <v>50</v>
      </c>
      <c r="C146" s="161" t="s">
        <v>141</v>
      </c>
      <c r="D146" s="120">
        <f t="shared" si="21"/>
        <v>42</v>
      </c>
    </row>
    <row r="147" spans="2:4" ht="13.5" customHeight="1">
      <c r="B147" s="119" t="s">
        <v>42</v>
      </c>
      <c r="C147" s="161" t="s">
        <v>143</v>
      </c>
      <c r="D147" s="120">
        <f t="shared" si="21"/>
        <v>43</v>
      </c>
    </row>
    <row r="148" spans="2:4" ht="13.5" customHeight="1">
      <c r="B148" s="119" t="s">
        <v>43</v>
      </c>
      <c r="C148" s="161" t="s">
        <v>144</v>
      </c>
      <c r="D148" s="120">
        <f t="shared" si="21"/>
        <v>44</v>
      </c>
    </row>
    <row r="149" spans="2:4" ht="13.5" customHeight="1">
      <c r="B149" s="119" t="s">
        <v>44</v>
      </c>
      <c r="C149" s="161" t="s">
        <v>144</v>
      </c>
      <c r="D149" s="120">
        <f t="shared" si="21"/>
        <v>45</v>
      </c>
    </row>
    <row r="150" spans="2:4" ht="13.5" customHeight="1">
      <c r="B150" s="119" t="s">
        <v>139</v>
      </c>
      <c r="C150" s="162" t="s">
        <v>139</v>
      </c>
      <c r="D150" s="120">
        <f t="shared" si="21"/>
        <v>46</v>
      </c>
    </row>
    <row r="151" spans="2:4" ht="13.5" customHeight="1">
      <c r="B151" s="119" t="s">
        <v>140</v>
      </c>
      <c r="C151" s="162" t="s">
        <v>140</v>
      </c>
      <c r="D151" s="120">
        <f t="shared" si="21"/>
        <v>47</v>
      </c>
    </row>
    <row r="152" spans="2:4" ht="13.5" customHeight="1">
      <c r="B152" s="119" t="s">
        <v>141</v>
      </c>
      <c r="C152" s="162" t="s">
        <v>141</v>
      </c>
      <c r="D152" s="120">
        <f t="shared" si="21"/>
        <v>48</v>
      </c>
    </row>
    <row r="153" spans="2:4" ht="13.5" customHeight="1">
      <c r="B153" s="119" t="s">
        <v>142</v>
      </c>
      <c r="C153" s="162" t="s">
        <v>142</v>
      </c>
      <c r="D153" s="120">
        <f t="shared" si="21"/>
        <v>49</v>
      </c>
    </row>
    <row r="154" spans="2:4" ht="13.5" customHeight="1">
      <c r="B154" s="119" t="s">
        <v>143</v>
      </c>
      <c r="C154" s="162" t="s">
        <v>143</v>
      </c>
      <c r="D154" s="120">
        <f t="shared" si="21"/>
        <v>50</v>
      </c>
    </row>
    <row r="155" spans="2:4" ht="13.5" customHeight="1">
      <c r="B155" s="164" t="s">
        <v>144</v>
      </c>
      <c r="C155" s="163" t="s">
        <v>144</v>
      </c>
      <c r="D155" s="121">
        <f t="shared" si="21"/>
        <v>51</v>
      </c>
    </row>
  </sheetData>
  <phoneticPr fontId="3"/>
  <printOptions headings="1"/>
  <pageMargins left="0.78740157480314965" right="0.70866141732283472" top="0.74803149606299213" bottom="0.74803149606299213" header="0.31496062992125984" footer="0.31496062992125984"/>
  <pageSetup paperSize="9" scale="56" orientation="landscape" r:id="rId1"/>
  <headerFooter>
    <oddHeader>&amp;R&amp;"ＭＳ ゴシック,標準"&amp;10&amp;D</oddHeader>
  </headerFooter>
  <rowBreaks count="2" manualBreakCount="2">
    <brk id="59" max="12" man="1"/>
    <brk id="94" max="12" man="1"/>
  </rowBreaks>
  <ignoredErrors>
    <ignoredError sqref="C12:L59 C69:C9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経済活動別〔統計表〕</vt:lpstr>
      <vt:lpstr>地域分析</vt:lpstr>
      <vt:lpstr>地域分析BD</vt:lpstr>
      <vt:lpstr>コード表</vt:lpstr>
      <vt:lpstr>コード表!Print_Area</vt:lpstr>
      <vt:lpstr>経済活動別〔統計表〕!Print_Area</vt:lpstr>
      <vt:lpstr>地域分析!Print_Area</vt:lpstr>
      <vt:lpstr>地域分析BD!Print_Area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2023-07-21T01:25:26Z</cp:lastPrinted>
  <dcterms:created xsi:type="dcterms:W3CDTF">2023-06-02T05:29:26Z</dcterms:created>
  <dcterms:modified xsi:type="dcterms:W3CDTF">2025-04-07T02:09:08Z</dcterms:modified>
</cp:coreProperties>
</file>