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SVNAS01\share\農林水産部\園芸振興課\03.経営構造班\24.一括交付金【災害・沖耐】\00.交付要綱・要領等\01.県実施要領\R4-13_沖縄型耐候性園芸施設整備事業\R6.02.00_一部改正\01_起案\③計画書様式\"/>
    </mc:Choice>
  </mc:AlternateContent>
  <bookViews>
    <workbookView xWindow="-75" yWindow="-15" windowWidth="11655" windowHeight="8040" tabRatio="760" firstSheet="2" activeTab="10"/>
  </bookViews>
  <sheets>
    <sheet name="表紙" sheetId="1" r:id="rId1"/>
    <sheet name="現況､事業計画(1)～(3)" sheetId="2" r:id="rId2"/>
    <sheet name="事業計画(4)～(7)" sheetId="4" r:id="rId3"/>
    <sheet name="生産計画" sheetId="14" r:id="rId4"/>
    <sheet name="図面等" sheetId="19" r:id="rId5"/>
    <sheet name="収支計画書" sheetId="5" r:id="rId6"/>
    <sheet name="目標収支計画" sheetId="13" r:id="rId7"/>
    <sheet name="単収、単価根拠" sheetId="18" r:id="rId8"/>
    <sheet name="ピーマン積算根拠" sheetId="6" r:id="rId9"/>
    <sheet name="作物純益率（ピーマン）" sheetId="8" r:id="rId10"/>
    <sheet name="ﾘｰｽ料算定表" sheetId="9" r:id="rId11"/>
  </sheets>
  <definedNames>
    <definedName name="_xlnm._FilterDatabase" localSheetId="1" hidden="1">'現況､事業計画(1)～(3)'!$C$1:$AA$85</definedName>
    <definedName name="_xlnm.Print_Area" localSheetId="8">ピーマン積算根拠!$A$1:$N$111</definedName>
    <definedName name="_xlnm.Print_Area" localSheetId="10">ﾘｰｽ料算定表!$A$1:$L$25</definedName>
    <definedName name="_xlnm.Print_Area" localSheetId="1">'現況､事業計画(1)～(3)'!$A$1:$Z$40</definedName>
    <definedName name="_xlnm.Print_Area" localSheetId="9">'作物純益率（ピーマン）'!$A$1:$K$47</definedName>
    <definedName name="_xlnm.Print_Area" localSheetId="5">収支計画書!$A$1:$U$27</definedName>
    <definedName name="_xlnm.Print_Area" localSheetId="3">生産計画!$A$1:$Q$50</definedName>
    <definedName name="_xlnm.Print_Area" localSheetId="7">'単収、単価根拠'!$A$1:$G$22</definedName>
    <definedName name="_xlnm.Print_Area" localSheetId="0">表紙!$A$1:$Q$32</definedName>
    <definedName name="_xlnm.Print_Area" localSheetId="6">目標収支計画!$A$1:$X$27</definedName>
  </definedNames>
  <calcPr calcId="162913"/>
</workbook>
</file>

<file path=xl/calcChain.xml><?xml version="1.0" encoding="utf-8"?>
<calcChain xmlns="http://schemas.openxmlformats.org/spreadsheetml/2006/main">
  <c r="B4" i="5" l="1"/>
  <c r="B3" i="5"/>
  <c r="A5" i="5"/>
  <c r="A4" i="5"/>
  <c r="A3" i="5"/>
  <c r="B4" i="19"/>
  <c r="B3" i="19"/>
  <c r="A5" i="19"/>
  <c r="A4" i="19"/>
  <c r="A3" i="19"/>
  <c r="A5" i="4"/>
  <c r="A4" i="4"/>
  <c r="B5" i="14"/>
  <c r="B30" i="14"/>
  <c r="B3" i="14"/>
  <c r="B28" i="14"/>
  <c r="A5" i="14"/>
  <c r="A30" i="14"/>
  <c r="A4" i="14"/>
  <c r="A29" i="14"/>
  <c r="A3" i="14"/>
  <c r="A28" i="14"/>
  <c r="B3" i="4"/>
  <c r="M8" i="19"/>
  <c r="N35" i="2"/>
  <c r="N34" i="2"/>
  <c r="N33" i="2"/>
  <c r="P37" i="2"/>
  <c r="P38" i="2"/>
  <c r="P39" i="2"/>
  <c r="R29" i="2"/>
  <c r="D5" i="9"/>
  <c r="C9" i="18"/>
  <c r="D9" i="18"/>
  <c r="E9" i="18"/>
  <c r="F9" i="18"/>
  <c r="B9" i="18"/>
  <c r="B22" i="18"/>
  <c r="G14" i="18"/>
  <c r="G17" i="18"/>
  <c r="B17" i="18"/>
  <c r="C17" i="18"/>
  <c r="D17" i="18"/>
  <c r="E17" i="18"/>
  <c r="F17" i="18"/>
  <c r="C22" i="18"/>
  <c r="N11" i="2"/>
  <c r="O11" i="2"/>
  <c r="N12" i="2"/>
  <c r="O12" i="2"/>
  <c r="O20" i="2"/>
  <c r="N13" i="2"/>
  <c r="O13" i="2"/>
  <c r="G5" i="18"/>
  <c r="G6" i="18"/>
  <c r="G9" i="18"/>
  <c r="B8" i="18"/>
  <c r="C8" i="18"/>
  <c r="B21" i="18"/>
  <c r="D8" i="18"/>
  <c r="E8" i="18"/>
  <c r="F8" i="18"/>
  <c r="G8" i="18"/>
  <c r="G13" i="18"/>
  <c r="G15" i="18"/>
  <c r="B16" i="18"/>
  <c r="C16" i="18"/>
  <c r="D16" i="18"/>
  <c r="E16" i="18"/>
  <c r="F16" i="18"/>
  <c r="C21" i="18"/>
  <c r="G16" i="18"/>
  <c r="F5" i="8"/>
  <c r="L33" i="14"/>
  <c r="K33" i="14"/>
  <c r="J33" i="14"/>
  <c r="I33" i="14"/>
  <c r="H33" i="14"/>
  <c r="G33" i="14"/>
  <c r="H48" i="14"/>
  <c r="K92" i="6"/>
  <c r="J19" i="5"/>
  <c r="N19" i="5"/>
  <c r="H19" i="5"/>
  <c r="G5" i="5"/>
  <c r="L8" i="5"/>
  <c r="N8" i="5"/>
  <c r="J8" i="5"/>
  <c r="E20" i="13"/>
  <c r="F17" i="8"/>
  <c r="F15" i="8"/>
  <c r="D43" i="8"/>
  <c r="G5" i="13"/>
  <c r="H22" i="13"/>
  <c r="H24" i="13"/>
  <c r="E24" i="13"/>
  <c r="O5" i="13"/>
  <c r="E22" i="13"/>
  <c r="K5" i="13"/>
  <c r="K5" i="6"/>
  <c r="M5" i="6"/>
  <c r="K17" i="6"/>
  <c r="M17" i="6"/>
  <c r="K18" i="6"/>
  <c r="M18" i="6"/>
  <c r="K19" i="6"/>
  <c r="M19" i="6"/>
  <c r="K20" i="6"/>
  <c r="M20" i="6"/>
  <c r="K21" i="6"/>
  <c r="M21" i="6"/>
  <c r="M33" i="6"/>
  <c r="M34" i="6"/>
  <c r="M35" i="6"/>
  <c r="I37" i="6"/>
  <c r="M37" i="6"/>
  <c r="K46" i="6"/>
  <c r="M46" i="6"/>
  <c r="M47" i="6"/>
  <c r="M48" i="6"/>
  <c r="E16" i="13"/>
  <c r="K58" i="6"/>
  <c r="M58" i="6"/>
  <c r="K59" i="6"/>
  <c r="M59" i="6"/>
  <c r="K60" i="6"/>
  <c r="M60" i="6"/>
  <c r="K61" i="6"/>
  <c r="M61" i="6"/>
  <c r="K62" i="6"/>
  <c r="M62" i="6"/>
  <c r="K75" i="6"/>
  <c r="M75" i="6"/>
  <c r="D14" i="9"/>
  <c r="K107" i="6"/>
  <c r="E102" i="6"/>
  <c r="K102" i="6"/>
  <c r="M102" i="6"/>
  <c r="M103" i="6"/>
  <c r="E25" i="13"/>
  <c r="S25" i="8"/>
  <c r="E23" i="13"/>
  <c r="M5" i="13"/>
  <c r="F24" i="8"/>
  <c r="K30" i="8"/>
  <c r="F7" i="8"/>
  <c r="G37" i="8"/>
  <c r="L43" i="14"/>
  <c r="K43" i="14"/>
  <c r="J43" i="14"/>
  <c r="I43" i="14"/>
  <c r="P43" i="14"/>
  <c r="H43" i="14"/>
  <c r="G43" i="14"/>
  <c r="I41" i="14"/>
  <c r="H41" i="14"/>
  <c r="J39" i="14"/>
  <c r="I39" i="14"/>
  <c r="G39" i="14"/>
  <c r="J14" i="14"/>
  <c r="I14" i="14"/>
  <c r="J10" i="14"/>
  <c r="H12" i="14"/>
  <c r="P12" i="14"/>
  <c r="L14" i="14"/>
  <c r="K14" i="14"/>
  <c r="H14" i="14"/>
  <c r="G14" i="14"/>
  <c r="L6" i="14"/>
  <c r="L31" i="14"/>
  <c r="K6" i="14"/>
  <c r="J6" i="14"/>
  <c r="I6" i="14"/>
  <c r="H6" i="14"/>
  <c r="H31" i="14"/>
  <c r="G6" i="14"/>
  <c r="L11" i="5"/>
  <c r="H23" i="13"/>
  <c r="L19" i="9"/>
  <c r="P7" i="14"/>
  <c r="P8" i="14"/>
  <c r="P9" i="14"/>
  <c r="G10" i="14"/>
  <c r="K23" i="14"/>
  <c r="I10" i="14"/>
  <c r="P11" i="14"/>
  <c r="I12" i="14"/>
  <c r="P13" i="14"/>
  <c r="P14" i="14"/>
  <c r="P15" i="14"/>
  <c r="P16" i="14"/>
  <c r="P17" i="14"/>
  <c r="G18" i="14"/>
  <c r="P18" i="14"/>
  <c r="H18" i="14"/>
  <c r="I18" i="14"/>
  <c r="P19" i="14"/>
  <c r="G20" i="14"/>
  <c r="H20" i="14"/>
  <c r="I20" i="14"/>
  <c r="P20" i="14"/>
  <c r="P21" i="14"/>
  <c r="G22" i="14"/>
  <c r="P22" i="14"/>
  <c r="H22" i="14"/>
  <c r="I22" i="14"/>
  <c r="J23" i="14"/>
  <c r="G31" i="14"/>
  <c r="I31" i="14"/>
  <c r="J31" i="14"/>
  <c r="K31" i="14"/>
  <c r="P32" i="14"/>
  <c r="G35" i="14"/>
  <c r="H35" i="14"/>
  <c r="I35" i="14"/>
  <c r="P36" i="14"/>
  <c r="P48" i="14"/>
  <c r="P37" i="14"/>
  <c r="P38" i="14"/>
  <c r="P39" i="14"/>
  <c r="P40" i="14"/>
  <c r="M41" i="14"/>
  <c r="N41" i="14"/>
  <c r="O41" i="14"/>
  <c r="P41" i="14"/>
  <c r="P42" i="14"/>
  <c r="M43" i="14"/>
  <c r="N43" i="14"/>
  <c r="O43" i="14"/>
  <c r="P44" i="14"/>
  <c r="P45" i="14"/>
  <c r="P46" i="14"/>
  <c r="P47" i="14"/>
  <c r="F6" i="4"/>
  <c r="AD6" i="4"/>
  <c r="AD7" i="4"/>
  <c r="U20" i="2"/>
  <c r="T20" i="2"/>
  <c r="S20" i="2"/>
  <c r="R20" i="2"/>
  <c r="Q20" i="2"/>
  <c r="O14" i="2"/>
  <c r="O15" i="2"/>
  <c r="O16" i="2"/>
  <c r="N14" i="2"/>
  <c r="N15" i="2"/>
  <c r="N20" i="2"/>
  <c r="N16" i="2"/>
  <c r="M20" i="2"/>
  <c r="L20" i="2"/>
  <c r="K33" i="2"/>
  <c r="A3" i="4"/>
  <c r="B4" i="4"/>
  <c r="L5" i="4"/>
  <c r="O5" i="4"/>
  <c r="R5" i="4"/>
  <c r="U5" i="4"/>
  <c r="X5" i="4"/>
  <c r="AA5" i="4"/>
  <c r="AD5" i="4"/>
  <c r="AG5" i="4"/>
  <c r="I7" i="4"/>
  <c r="R8" i="5"/>
  <c r="F12" i="5"/>
  <c r="L12" i="5"/>
  <c r="F13" i="5"/>
  <c r="L13" i="5"/>
  <c r="F14" i="5"/>
  <c r="L14" i="5"/>
  <c r="F15" i="5"/>
  <c r="J15" i="5"/>
  <c r="N15" i="5"/>
  <c r="H15" i="5"/>
  <c r="L15" i="5"/>
  <c r="F16" i="5"/>
  <c r="L16" i="5"/>
  <c r="F17" i="5"/>
  <c r="L17" i="5"/>
  <c r="F18" i="5"/>
  <c r="L18" i="5"/>
  <c r="F19" i="5"/>
  <c r="F20" i="5"/>
  <c r="L20" i="5"/>
  <c r="J20" i="5"/>
  <c r="N20" i="5"/>
  <c r="H20" i="5"/>
  <c r="F21" i="5"/>
  <c r="J21" i="5"/>
  <c r="N21" i="5"/>
  <c r="H21" i="5"/>
  <c r="L21" i="5"/>
  <c r="F22" i="5"/>
  <c r="J22" i="5"/>
  <c r="N22" i="5"/>
  <c r="H22" i="5"/>
  <c r="L22" i="5"/>
  <c r="F23" i="5"/>
  <c r="L23" i="5"/>
  <c r="T19" i="8"/>
  <c r="F27" i="8"/>
  <c r="D37" i="8"/>
  <c r="E37" i="8"/>
  <c r="F37" i="8"/>
  <c r="D40" i="8"/>
  <c r="H40" i="8"/>
  <c r="E43" i="8"/>
  <c r="C45" i="8"/>
  <c r="D45" i="8"/>
  <c r="E45" i="8"/>
  <c r="D24" i="9"/>
  <c r="E24" i="9"/>
  <c r="F24" i="9"/>
  <c r="G24" i="9"/>
  <c r="H24" i="9"/>
  <c r="I24" i="9"/>
  <c r="J24" i="9"/>
  <c r="K24" i="9"/>
  <c r="AB11" i="13"/>
  <c r="AG11" i="13"/>
  <c r="AH11" i="13"/>
  <c r="AI11" i="13"/>
  <c r="AK11" i="13"/>
  <c r="AB14" i="13"/>
  <c r="AG14" i="13"/>
  <c r="AH14" i="13"/>
  <c r="AI14" i="13"/>
  <c r="AK14" i="13"/>
  <c r="O6" i="4"/>
  <c r="P8" i="5"/>
  <c r="T8" i="5"/>
  <c r="H8" i="5"/>
  <c r="H10" i="5"/>
  <c r="J25" i="5"/>
  <c r="J14" i="5"/>
  <c r="N14" i="5"/>
  <c r="H14" i="5"/>
  <c r="I78" i="6"/>
  <c r="M78" i="6"/>
  <c r="G81" i="6"/>
  <c r="K81" i="6"/>
  <c r="M76" i="6"/>
  <c r="E14" i="13"/>
  <c r="J13" i="5"/>
  <c r="N13" i="5"/>
  <c r="H13" i="5"/>
  <c r="F10" i="8"/>
  <c r="F22" i="8"/>
  <c r="F43" i="8"/>
  <c r="Q5" i="13"/>
  <c r="J23" i="5"/>
  <c r="N23" i="5"/>
  <c r="H23" i="5"/>
  <c r="M22" i="6"/>
  <c r="I24" i="6"/>
  <c r="M24" i="6"/>
  <c r="M63" i="6"/>
  <c r="I65" i="6"/>
  <c r="M65" i="6"/>
  <c r="E15" i="13"/>
  <c r="F11" i="8"/>
  <c r="I8" i="6"/>
  <c r="M8" i="6"/>
  <c r="M6" i="6"/>
  <c r="D6" i="9"/>
  <c r="D7" i="9"/>
  <c r="R6" i="4"/>
  <c r="R7" i="4"/>
  <c r="L6" i="4"/>
  <c r="L7" i="4"/>
  <c r="X6" i="4"/>
  <c r="X7" i="4"/>
  <c r="L48" i="14"/>
  <c r="P33" i="14"/>
  <c r="G48" i="14"/>
  <c r="P23" i="14"/>
  <c r="I23" i="14"/>
  <c r="I48" i="14"/>
  <c r="F7" i="4"/>
  <c r="J48" i="14"/>
  <c r="L23" i="14"/>
  <c r="H23" i="14"/>
  <c r="G23" i="14"/>
  <c r="P10" i="14"/>
  <c r="K48" i="14"/>
  <c r="E12" i="13"/>
  <c r="F8" i="8"/>
  <c r="E13" i="13"/>
  <c r="J12" i="5"/>
  <c r="N12" i="5"/>
  <c r="H12" i="5"/>
  <c r="F9" i="8"/>
  <c r="G5" i="9"/>
  <c r="H5" i="9"/>
  <c r="E17" i="13"/>
  <c r="J16" i="5"/>
  <c r="N16" i="5"/>
  <c r="H16" i="5"/>
  <c r="F12" i="8"/>
  <c r="E18" i="13"/>
  <c r="J17" i="5"/>
  <c r="N17" i="5"/>
  <c r="H17" i="5"/>
  <c r="F19" i="8"/>
  <c r="U6" i="4"/>
  <c r="O7" i="4"/>
  <c r="AA6" i="4"/>
  <c r="U7" i="4"/>
  <c r="J5" i="9"/>
  <c r="D8" i="9"/>
  <c r="D9" i="9"/>
  <c r="J11" i="5"/>
  <c r="N11" i="5"/>
  <c r="H11" i="5"/>
  <c r="AA7" i="4"/>
  <c r="AG6" i="4"/>
  <c r="AG7" i="4"/>
  <c r="G11" i="9"/>
  <c r="D10" i="9"/>
  <c r="H11" i="9"/>
  <c r="I11" i="9"/>
  <c r="D18" i="9"/>
  <c r="K19" i="9"/>
  <c r="J19" i="9"/>
  <c r="D20" i="9"/>
  <c r="E19" i="9"/>
  <c r="H19" i="9"/>
  <c r="F19" i="9"/>
  <c r="D19" i="9"/>
  <c r="G19" i="9"/>
  <c r="I19" i="9"/>
  <c r="E18" i="9"/>
  <c r="F18" i="9"/>
  <c r="E20" i="9"/>
  <c r="F20" i="9"/>
  <c r="G18" i="9"/>
  <c r="H18" i="9"/>
  <c r="G20" i="9"/>
  <c r="I18" i="9"/>
  <c r="H20" i="9"/>
  <c r="J18" i="9"/>
  <c r="I20" i="9"/>
  <c r="J20" i="9"/>
  <c r="K18" i="9"/>
  <c r="K20" i="9"/>
  <c r="L20" i="9"/>
  <c r="I21" i="9"/>
  <c r="I22" i="9"/>
  <c r="K21" i="9"/>
  <c r="K22" i="9"/>
  <c r="D21" i="9"/>
  <c r="G21" i="9"/>
  <c r="G22" i="9"/>
  <c r="J21" i="9"/>
  <c r="J22" i="9"/>
  <c r="E21" i="9"/>
  <c r="E22" i="9"/>
  <c r="H21" i="9"/>
  <c r="H22" i="9"/>
  <c r="F21" i="9"/>
  <c r="F22" i="9"/>
  <c r="G25" i="9"/>
  <c r="G23" i="9"/>
  <c r="E23" i="9"/>
  <c r="E25" i="9"/>
  <c r="F25" i="9"/>
  <c r="F23" i="9"/>
  <c r="H23" i="9"/>
  <c r="H25" i="9"/>
  <c r="L21" i="9"/>
  <c r="D22" i="9"/>
  <c r="K25" i="9"/>
  <c r="K23" i="9"/>
  <c r="J25" i="9"/>
  <c r="J23" i="9"/>
  <c r="I25" i="9"/>
  <c r="I23" i="9"/>
  <c r="D23" i="9"/>
  <c r="L23" i="9"/>
  <c r="L22" i="9"/>
  <c r="D25" i="9"/>
  <c r="E19" i="13"/>
  <c r="F14" i="8"/>
  <c r="F23" i="8"/>
  <c r="J18" i="5"/>
  <c r="N18" i="5"/>
  <c r="H18" i="5"/>
  <c r="H24" i="5"/>
  <c r="N25" i="5"/>
  <c r="R25" i="5"/>
  <c r="E21" i="13"/>
  <c r="I5" i="13"/>
  <c r="S5" i="13"/>
  <c r="U5" i="13"/>
  <c r="W5" i="13"/>
  <c r="E26" i="13"/>
  <c r="C43" i="8"/>
  <c r="K29" i="8"/>
  <c r="C40" i="8"/>
  <c r="F26" i="8"/>
  <c r="F28" i="8"/>
  <c r="K32" i="8"/>
  <c r="K40" i="8"/>
  <c r="G43" i="8"/>
  <c r="C37" i="8"/>
  <c r="F29" i="8"/>
  <c r="F31" i="8"/>
  <c r="I37" i="8"/>
</calcChain>
</file>

<file path=xl/comments1.xml><?xml version="1.0" encoding="utf-8"?>
<comments xmlns="http://schemas.openxmlformats.org/spreadsheetml/2006/main">
  <authors>
    <author xml:space="preserve"> </author>
  </authors>
  <commentList>
    <comment ref="G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面積を入れると下の表に反映されます。</t>
        </r>
      </text>
    </comment>
    <comment ref="L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各地区の合計面積をいれてください。</t>
        </r>
      </text>
    </comment>
    <comment ref="J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目標収支計画のシートから数字を引用しています。</t>
        </r>
      </text>
    </comment>
    <comment ref="L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各地区の合計面積をいれてください。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</authors>
  <commentList>
    <comment ref="E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平成10年
農業経営技術指標
（ｐ．３２５より）</t>
        </r>
      </text>
    </comment>
    <comment ref="G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JA単価</t>
        </r>
      </text>
    </comment>
    <comment ref="E1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平成10年
農業経営技術指標
（ｐ．３２５より）</t>
        </r>
      </text>
    </comment>
    <comment ref="G1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JA単価</t>
        </r>
      </text>
    </comment>
    <comment ref="G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JA単価</t>
        </r>
      </text>
    </comment>
    <comment ref="G2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JA単価</t>
        </r>
      </text>
    </comment>
    <comment ref="G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JA単価</t>
        </r>
      </text>
    </comment>
    <comment ref="E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平成10年
農業経営技術指標
（ｐ．３２５より）</t>
        </r>
      </text>
    </comment>
    <comment ref="G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JA単価</t>
        </r>
      </text>
    </comment>
    <comment ref="E3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平成10年
農業経営技術指標
（ｐ．３２５より）</t>
        </r>
      </text>
    </comment>
    <comment ref="G3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JA単価</t>
        </r>
      </text>
    </comment>
    <comment ref="E5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平成10年
農業経営技術指標
（ｐ．３２５より）</t>
        </r>
      </text>
    </comment>
    <comment ref="G5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JA単価</t>
        </r>
      </text>
    </comment>
    <comment ref="E5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平成10年
農業経営技術指標
（ｐ．３２５より）</t>
        </r>
      </text>
    </comment>
    <comment ref="G5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JA単価</t>
        </r>
      </text>
    </comment>
  </commentList>
</comments>
</file>

<file path=xl/sharedStrings.xml><?xml version="1.0" encoding="utf-8"?>
<sst xmlns="http://schemas.openxmlformats.org/spreadsheetml/2006/main" count="720" uniqueCount="489">
  <si>
    <t>小計</t>
    <rPh sb="0" eb="2">
      <t>ショウケイ</t>
    </rPh>
    <phoneticPr fontId="14"/>
  </si>
  <si>
    <t>選果料金</t>
    <rPh sb="0" eb="2">
      <t>センカ</t>
    </rPh>
    <rPh sb="2" eb="4">
      <t>リョウキン</t>
    </rPh>
    <phoneticPr fontId="14"/>
  </si>
  <si>
    <t>合計</t>
    <rPh sb="0" eb="2">
      <t>ゴウケイ</t>
    </rPh>
    <phoneticPr fontId="14"/>
  </si>
  <si>
    <t>経営耕地面積</t>
  </si>
  <si>
    <t>栽　培　状　況</t>
  </si>
  <si>
    <t>男</t>
  </si>
  <si>
    <t>計</t>
  </si>
  <si>
    <t>単　　価</t>
  </si>
  <si>
    <t>備　　考</t>
  </si>
  <si>
    <t>面　積（a）</t>
  </si>
  <si>
    <t>販売量（ｔ）</t>
  </si>
  <si>
    <t>現　　　況　　　及　　　び　　　事　　　業　　　計　　　画　　　の　　　概　　　要　　</t>
  </si>
  <si>
    <t>品　　目</t>
  </si>
  <si>
    <t>１月</t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</si>
  <si>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</si>
  <si>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</si>
  <si>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</si>
  <si>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</si>
  <si>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</si>
  <si>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</si>
  <si>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</si>
  <si>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</si>
  <si>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</si>
  <si>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</si>
  <si>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</si>
  <si>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備　　　　　　　考</t>
  </si>
  <si>
    <t>×</t>
  </si>
  <si>
    <t>＝</t>
  </si>
  <si>
    <t>/</t>
  </si>
  <si>
    <t>：</t>
  </si>
  <si>
    <t>計画承認年度</t>
    <rPh sb="0" eb="1">
      <t>ケイ</t>
    </rPh>
    <rPh sb="1" eb="2">
      <t>ガ</t>
    </rPh>
    <rPh sb="2" eb="3">
      <t>ウケタマワ</t>
    </rPh>
    <rPh sb="3" eb="4">
      <t>ニン</t>
    </rPh>
    <rPh sb="4" eb="5">
      <t>トシ</t>
    </rPh>
    <rPh sb="5" eb="6">
      <t>タビ</t>
    </rPh>
    <phoneticPr fontId="11"/>
  </si>
  <si>
    <t>実施予定年度</t>
    <rPh sb="0" eb="1">
      <t>ミ</t>
    </rPh>
    <rPh sb="1" eb="2">
      <t>ホドコ</t>
    </rPh>
    <rPh sb="2" eb="4">
      <t>ヨテイ</t>
    </rPh>
    <rPh sb="4" eb="5">
      <t>トシ</t>
    </rPh>
    <rPh sb="5" eb="6">
      <t>タビ</t>
    </rPh>
    <phoneticPr fontId="11"/>
  </si>
  <si>
    <t>：</t>
    <phoneticPr fontId="11"/>
  </si>
  <si>
    <t>対象地区</t>
    <rPh sb="0" eb="2">
      <t>タイショウ</t>
    </rPh>
    <rPh sb="2" eb="4">
      <t>チク</t>
    </rPh>
    <phoneticPr fontId="11"/>
  </si>
  <si>
    <t>　１．現況</t>
    <rPh sb="3" eb="5">
      <t>ゲンキョウ</t>
    </rPh>
    <phoneticPr fontId="11"/>
  </si>
  <si>
    <t>単位：a、人</t>
    <rPh sb="0" eb="2">
      <t>タンイ</t>
    </rPh>
    <rPh sb="5" eb="6">
      <t>ニン</t>
    </rPh>
    <phoneticPr fontId="11"/>
  </si>
  <si>
    <t>年齢</t>
    <rPh sb="0" eb="2">
      <t>ネンレイ</t>
    </rPh>
    <phoneticPr fontId="11"/>
  </si>
  <si>
    <t>農 業 従 事 者</t>
    <rPh sb="4" eb="5">
      <t>ジュウ</t>
    </rPh>
    <rPh sb="6" eb="7">
      <t>コト</t>
    </rPh>
    <rPh sb="8" eb="9">
      <t>モノ</t>
    </rPh>
    <phoneticPr fontId="11"/>
  </si>
  <si>
    <t>女</t>
    <rPh sb="0" eb="1">
      <t>オンナ</t>
    </rPh>
    <phoneticPr fontId="11"/>
  </si>
  <si>
    <t>肉用牛</t>
    <rPh sb="0" eb="2">
      <t>ニクヨウ</t>
    </rPh>
    <rPh sb="2" eb="3">
      <t>ウシ</t>
    </rPh>
    <phoneticPr fontId="11"/>
  </si>
  <si>
    <t>野菜</t>
    <rPh sb="0" eb="2">
      <t>ヤサイ</t>
    </rPh>
    <phoneticPr fontId="11"/>
  </si>
  <si>
    <t>果樹</t>
    <rPh sb="0" eb="2">
      <t>カジュ</t>
    </rPh>
    <phoneticPr fontId="11"/>
  </si>
  <si>
    <t>花き</t>
    <rPh sb="0" eb="1">
      <t>カ</t>
    </rPh>
    <phoneticPr fontId="11"/>
  </si>
  <si>
    <t>合　　　計</t>
    <rPh sb="0" eb="1">
      <t>ゴウ</t>
    </rPh>
    <rPh sb="4" eb="5">
      <t>ケイ</t>
    </rPh>
    <phoneticPr fontId="11"/>
  </si>
  <si>
    <t>　２．事業計画</t>
    <rPh sb="3" eb="5">
      <t>ジギョウ</t>
    </rPh>
    <rPh sb="5" eb="7">
      <t>ケイカク</t>
    </rPh>
    <phoneticPr fontId="11"/>
  </si>
  <si>
    <t xml:space="preserve">               本事業の</t>
    <rPh sb="15" eb="16">
      <t>ホン</t>
    </rPh>
    <rPh sb="16" eb="18">
      <t>ジギョウ</t>
    </rPh>
    <phoneticPr fontId="11"/>
  </si>
  <si>
    <t>事　　業　　量</t>
    <rPh sb="0" eb="1">
      <t>コト</t>
    </rPh>
    <rPh sb="3" eb="4">
      <t>ギョウ</t>
    </rPh>
    <rPh sb="6" eb="7">
      <t>リョウ</t>
    </rPh>
    <phoneticPr fontId="11"/>
  </si>
  <si>
    <t>事　　業　　量</t>
    <rPh sb="0" eb="4">
      <t>ジギョウ</t>
    </rPh>
    <rPh sb="6" eb="7">
      <t>リョウ</t>
    </rPh>
    <phoneticPr fontId="11"/>
  </si>
  <si>
    <t>事　業　費</t>
    <rPh sb="0" eb="3">
      <t>ジギョウ</t>
    </rPh>
    <rPh sb="4" eb="5">
      <t>ヒ</t>
    </rPh>
    <phoneticPr fontId="11"/>
  </si>
  <si>
    <t>鉄骨角綱ハウス</t>
    <rPh sb="0" eb="2">
      <t>テッコツ</t>
    </rPh>
    <rPh sb="2" eb="3">
      <t>カク</t>
    </rPh>
    <rPh sb="3" eb="4">
      <t>コウ</t>
    </rPh>
    <phoneticPr fontId="11"/>
  </si>
  <si>
    <t>一式</t>
    <rPh sb="0" eb="1">
      <t>イチ</t>
    </rPh>
    <rPh sb="1" eb="2">
      <t>シキ</t>
    </rPh>
    <phoneticPr fontId="11"/>
  </si>
  <si>
    <t>小　　　　計</t>
    <rPh sb="0" eb="1">
      <t>ショウ</t>
    </rPh>
    <rPh sb="5" eb="6">
      <t>ケイ</t>
    </rPh>
    <phoneticPr fontId="11"/>
  </si>
  <si>
    <t>消　 費 　税</t>
    <rPh sb="0" eb="1">
      <t>ケ</t>
    </rPh>
    <rPh sb="3" eb="4">
      <t>ヒ</t>
    </rPh>
    <rPh sb="6" eb="7">
      <t>ゼイ</t>
    </rPh>
    <phoneticPr fontId="11"/>
  </si>
  <si>
    <t>現況および事業計画の概要</t>
    <rPh sb="0" eb="2">
      <t>ゲンキョウ</t>
    </rPh>
    <rPh sb="5" eb="7">
      <t>ジギョウ</t>
    </rPh>
    <rPh sb="7" eb="9">
      <t>ケイカク</t>
    </rPh>
    <rPh sb="10" eb="12">
      <t>ガイヨウ</t>
    </rPh>
    <phoneticPr fontId="11"/>
  </si>
  <si>
    <t>合　計</t>
    <rPh sb="0" eb="1">
      <t>ゴウ</t>
    </rPh>
    <rPh sb="2" eb="3">
      <t>ケイ</t>
    </rPh>
    <phoneticPr fontId="11"/>
  </si>
  <si>
    <t>既存施設</t>
    <rPh sb="0" eb="2">
      <t>キゾン</t>
    </rPh>
    <rPh sb="2" eb="4">
      <t>シセツ</t>
    </rPh>
    <phoneticPr fontId="11"/>
  </si>
  <si>
    <t>面　積（a）</t>
    <rPh sb="0" eb="1">
      <t>メン</t>
    </rPh>
    <rPh sb="2" eb="3">
      <t>セキ</t>
    </rPh>
    <phoneticPr fontId="11"/>
  </si>
  <si>
    <t>合　　計</t>
    <rPh sb="0" eb="1">
      <t>ゴウ</t>
    </rPh>
    <rPh sb="3" eb="4">
      <t>ケイ</t>
    </rPh>
    <phoneticPr fontId="11"/>
  </si>
  <si>
    <t>導入後施設</t>
    <rPh sb="0" eb="2">
      <t>ドウニュウ</t>
    </rPh>
    <rPh sb="2" eb="3">
      <t>ゴ</t>
    </rPh>
    <rPh sb="3" eb="5">
      <t>シセツ</t>
    </rPh>
    <phoneticPr fontId="11"/>
  </si>
  <si>
    <t>その他</t>
    <rPh sb="2" eb="3">
      <t>タ</t>
    </rPh>
    <phoneticPr fontId="11"/>
  </si>
  <si>
    <t>販売量</t>
    <rPh sb="0" eb="2">
      <t>ハンバイ</t>
    </rPh>
    <phoneticPr fontId="11"/>
  </si>
  <si>
    <t>計</t>
    <rPh sb="0" eb="1">
      <t>ケイ</t>
    </rPh>
    <phoneticPr fontId="11"/>
  </si>
  <si>
    <t>農　協
集出荷場（共選）</t>
    <rPh sb="0" eb="1">
      <t>ノウ</t>
    </rPh>
    <rPh sb="2" eb="3">
      <t>キョウ</t>
    </rPh>
    <rPh sb="4" eb="5">
      <t>シュウ</t>
    </rPh>
    <rPh sb="5" eb="7">
      <t>シュッカ</t>
    </rPh>
    <rPh sb="7" eb="8">
      <t>バ</t>
    </rPh>
    <rPh sb="9" eb="11">
      <t>キョウセン</t>
    </rPh>
    <phoneticPr fontId="11"/>
  </si>
  <si>
    <t>消費者へ</t>
    <rPh sb="0" eb="3">
      <t>ショウヒシャ</t>
    </rPh>
    <phoneticPr fontId="11"/>
  </si>
  <si>
    <t>収入</t>
    <rPh sb="0" eb="2">
      <t>シュウニュウ</t>
    </rPh>
    <phoneticPr fontId="11"/>
  </si>
  <si>
    <t>項目</t>
    <rPh sb="0" eb="2">
      <t>コウモク</t>
    </rPh>
    <phoneticPr fontId="11"/>
  </si>
  <si>
    <t>金額</t>
    <rPh sb="0" eb="2">
      <t>キンガク</t>
    </rPh>
    <phoneticPr fontId="11"/>
  </si>
  <si>
    <t>備考</t>
    <rPh sb="0" eb="2">
      <t>ビコウ</t>
    </rPh>
    <phoneticPr fontId="11"/>
  </si>
  <si>
    <t>支出</t>
    <rPh sb="0" eb="2">
      <t>シシュツ</t>
    </rPh>
    <phoneticPr fontId="11"/>
  </si>
  <si>
    <t>収支合計</t>
    <rPh sb="0" eb="2">
      <t>シュウシ</t>
    </rPh>
    <rPh sb="2" eb="4">
      <t>ゴウケイ</t>
    </rPh>
    <phoneticPr fontId="11"/>
  </si>
  <si>
    <t>収入－支出　＝</t>
    <rPh sb="0" eb="2">
      <t>シュウニュウ</t>
    </rPh>
    <rPh sb="3" eb="5">
      <t>シシュツ</t>
    </rPh>
    <phoneticPr fontId="11"/>
  </si>
  <si>
    <t>－</t>
    <phoneticPr fontId="11"/>
  </si>
  <si>
    <t>＝</t>
    <phoneticPr fontId="11"/>
  </si>
  <si>
    <t>品目</t>
    <rPh sb="0" eb="2">
      <t>ヒンモク</t>
    </rPh>
    <phoneticPr fontId="12"/>
  </si>
  <si>
    <t>必要量</t>
    <rPh sb="0" eb="3">
      <t>ヒツヨウリョウ</t>
    </rPh>
    <phoneticPr fontId="12"/>
  </si>
  <si>
    <t>積算</t>
    <rPh sb="0" eb="2">
      <t>セキサン</t>
    </rPh>
    <phoneticPr fontId="12"/>
  </si>
  <si>
    <t>肥料費</t>
    <rPh sb="0" eb="3">
      <t>ヒリョウヒ</t>
    </rPh>
    <phoneticPr fontId="12"/>
  </si>
  <si>
    <t>内容量</t>
    <rPh sb="0" eb="3">
      <t>ナイヨウリョウ</t>
    </rPh>
    <phoneticPr fontId="12"/>
  </si>
  <si>
    <t>小計額</t>
    <rPh sb="0" eb="2">
      <t>ショウケイ</t>
    </rPh>
    <rPh sb="2" eb="3">
      <t>ガク</t>
    </rPh>
    <phoneticPr fontId="12"/>
  </si>
  <si>
    <t>合計</t>
    <rPh sb="0" eb="2">
      <t>ゴウケイ</t>
    </rPh>
    <phoneticPr fontId="12"/>
  </si>
  <si>
    <t>必 要 量</t>
    <rPh sb="0" eb="1">
      <t>ヒツ</t>
    </rPh>
    <rPh sb="2" eb="3">
      <t>ヨウ</t>
    </rPh>
    <rPh sb="4" eb="5">
      <t>リョウ</t>
    </rPh>
    <phoneticPr fontId="12"/>
  </si>
  <si>
    <t>単　  価</t>
    <rPh sb="0" eb="1">
      <t>タン</t>
    </rPh>
    <rPh sb="4" eb="5">
      <t>アタイ</t>
    </rPh>
    <phoneticPr fontId="12"/>
  </si>
  <si>
    <t>農薬代</t>
    <rPh sb="0" eb="2">
      <t>ノウヤク</t>
    </rPh>
    <rPh sb="2" eb="3">
      <t>ダイ</t>
    </rPh>
    <phoneticPr fontId="12"/>
  </si>
  <si>
    <t>光熱費</t>
    <rPh sb="0" eb="3">
      <t>コウネツヒ</t>
    </rPh>
    <phoneticPr fontId="12"/>
  </si>
  <si>
    <t>指標単価（税込）</t>
    <rPh sb="0" eb="2">
      <t>シヒョウ</t>
    </rPh>
    <rPh sb="2" eb="4">
      <t>タンカ</t>
    </rPh>
    <rPh sb="5" eb="7">
      <t>ゼイコ</t>
    </rPh>
    <phoneticPr fontId="12"/>
  </si>
  <si>
    <t>ｶﾞｿﾘﾝ・ﾃﾞｨｰｾﾞﾙ×0.3（指標より）</t>
    <rPh sb="18" eb="20">
      <t>シヒョウ</t>
    </rPh>
    <phoneticPr fontId="12"/>
  </si>
  <si>
    <t>農業経営技術指標（平成16年　南部ﾏﾝｺﾞｰ参照）</t>
    <rPh sb="0" eb="2">
      <t>ノウギョウ</t>
    </rPh>
    <rPh sb="2" eb="4">
      <t>ケイエイ</t>
    </rPh>
    <rPh sb="4" eb="6">
      <t>ギジュツ</t>
    </rPh>
    <rPh sb="6" eb="8">
      <t>シヒョウ</t>
    </rPh>
    <rPh sb="9" eb="11">
      <t>ヘイセイ</t>
    </rPh>
    <rPh sb="13" eb="14">
      <t>ネン</t>
    </rPh>
    <rPh sb="15" eb="17">
      <t>ナンブ</t>
    </rPh>
    <rPh sb="22" eb="24">
      <t>サンショウ</t>
    </rPh>
    <phoneticPr fontId="12"/>
  </si>
  <si>
    <t>地区内農家実績</t>
    <rPh sb="0" eb="3">
      <t>チクナイ</t>
    </rPh>
    <rPh sb="3" eb="5">
      <t>ノウカ</t>
    </rPh>
    <rPh sb="5" eb="7">
      <t>ジッセキ</t>
    </rPh>
    <phoneticPr fontId="12"/>
  </si>
  <si>
    <t>諸材料費</t>
    <rPh sb="0" eb="1">
      <t>ショ</t>
    </rPh>
    <rPh sb="1" eb="4">
      <t>ザイリョウヒ</t>
    </rPh>
    <phoneticPr fontId="12"/>
  </si>
  <si>
    <t>修繕費</t>
    <rPh sb="0" eb="3">
      <t>シュウゼンヒ</t>
    </rPh>
    <phoneticPr fontId="12"/>
  </si>
  <si>
    <t>必要量</t>
    <rPh sb="0" eb="2">
      <t>ヒツヨウ</t>
    </rPh>
    <rPh sb="2" eb="3">
      <t>リョウ</t>
    </rPh>
    <phoneticPr fontId="12"/>
  </si>
  <si>
    <t>耐用年数</t>
    <rPh sb="0" eb="2">
      <t>タイヨウ</t>
    </rPh>
    <rPh sb="2" eb="4">
      <t>ネンスウ</t>
    </rPh>
    <phoneticPr fontId="12"/>
  </si>
  <si>
    <t>１台当たり償却費</t>
    <rPh sb="1" eb="2">
      <t>ダイ</t>
    </rPh>
    <rPh sb="2" eb="3">
      <t>ア</t>
    </rPh>
    <rPh sb="5" eb="8">
      <t>ショウキャクヒ</t>
    </rPh>
    <phoneticPr fontId="12"/>
  </si>
  <si>
    <t>償却費</t>
    <rPh sb="0" eb="3">
      <t>ショウキャクヒ</t>
    </rPh>
    <phoneticPr fontId="12"/>
  </si>
  <si>
    <t>＝</t>
    <phoneticPr fontId="12"/>
  </si>
  <si>
    <t>新調価格</t>
    <rPh sb="0" eb="2">
      <t>シンチョウ</t>
    </rPh>
    <rPh sb="2" eb="4">
      <t>カカク</t>
    </rPh>
    <phoneticPr fontId="12"/>
  </si>
  <si>
    <t>包装費</t>
    <rPh sb="0" eb="3">
      <t>ホウソウヒ</t>
    </rPh>
    <phoneticPr fontId="12"/>
  </si>
  <si>
    <t>施設等名</t>
    <rPh sb="0" eb="2">
      <t>シセツ</t>
    </rPh>
    <rPh sb="2" eb="3">
      <t>トウ</t>
    </rPh>
    <rPh sb="3" eb="4">
      <t>メイ</t>
    </rPh>
    <phoneticPr fontId="11"/>
  </si>
  <si>
    <t>計画作物純益率算定</t>
    <rPh sb="0" eb="2">
      <t>ケイカク</t>
    </rPh>
    <rPh sb="2" eb="4">
      <t>サクモツ</t>
    </rPh>
    <rPh sb="4" eb="6">
      <t>ジュンエキ</t>
    </rPh>
    <rPh sb="6" eb="7">
      <t>リツ</t>
    </rPh>
    <rPh sb="7" eb="9">
      <t>サンテイ</t>
    </rPh>
    <phoneticPr fontId="11"/>
  </si>
  <si>
    <t>（単位：円）</t>
    <rPh sb="1" eb="3">
      <t>タンイ</t>
    </rPh>
    <rPh sb="4" eb="5">
      <t>エン</t>
    </rPh>
    <phoneticPr fontId="11"/>
  </si>
  <si>
    <t>項　　　　　　　目</t>
    <rPh sb="0" eb="1">
      <t>コウ</t>
    </rPh>
    <rPh sb="8" eb="9">
      <t>メ</t>
    </rPh>
    <phoneticPr fontId="11"/>
  </si>
  <si>
    <t>生</t>
    <rPh sb="0" eb="1">
      <t>セイ</t>
    </rPh>
    <phoneticPr fontId="11"/>
  </si>
  <si>
    <t>10a当たり単収（kg）</t>
    <rPh sb="3" eb="4">
      <t>ア</t>
    </rPh>
    <rPh sb="6" eb="8">
      <t>タンシュウ</t>
    </rPh>
    <phoneticPr fontId="11"/>
  </si>
  <si>
    <t>産</t>
    <rPh sb="0" eb="1">
      <t>サン</t>
    </rPh>
    <phoneticPr fontId="11"/>
  </si>
  <si>
    <t>kg当たり生産物単価</t>
    <rPh sb="2" eb="3">
      <t>ア</t>
    </rPh>
    <rPh sb="5" eb="8">
      <t>セイサンブツ</t>
    </rPh>
    <rPh sb="8" eb="10">
      <t>タンカ</t>
    </rPh>
    <phoneticPr fontId="11"/>
  </si>
  <si>
    <t>額</t>
    <rPh sb="0" eb="1">
      <t>ガク</t>
    </rPh>
    <phoneticPr fontId="11"/>
  </si>
  <si>
    <t>①粗収益</t>
    <rPh sb="1" eb="2">
      <t>ソ</t>
    </rPh>
    <rPh sb="2" eb="4">
      <t>シュウエキ</t>
    </rPh>
    <phoneticPr fontId="11"/>
  </si>
  <si>
    <t>種苗費</t>
    <rPh sb="0" eb="2">
      <t>シュビョウ</t>
    </rPh>
    <rPh sb="2" eb="3">
      <t>ヒ</t>
    </rPh>
    <phoneticPr fontId="11"/>
  </si>
  <si>
    <t>肥料費</t>
    <rPh sb="0" eb="3">
      <t>ヒリョウヒ</t>
    </rPh>
    <phoneticPr fontId="11"/>
  </si>
  <si>
    <t>経</t>
    <rPh sb="0" eb="1">
      <t>ケイ</t>
    </rPh>
    <phoneticPr fontId="11"/>
  </si>
  <si>
    <t>農薬費</t>
    <rPh sb="0" eb="2">
      <t>ノウヤク</t>
    </rPh>
    <rPh sb="2" eb="3">
      <t>ヒ</t>
    </rPh>
    <phoneticPr fontId="11"/>
  </si>
  <si>
    <t>光熱動力費</t>
    <rPh sb="0" eb="2">
      <t>コウネツ</t>
    </rPh>
    <rPh sb="2" eb="5">
      <t>ドウリョクヒ</t>
    </rPh>
    <phoneticPr fontId="11"/>
  </si>
  <si>
    <t>諸材料費</t>
    <rPh sb="0" eb="3">
      <t>ショザイリョウ</t>
    </rPh>
    <rPh sb="3" eb="4">
      <t>ヒ</t>
    </rPh>
    <phoneticPr fontId="11"/>
  </si>
  <si>
    <t>水利費</t>
    <rPh sb="0" eb="2">
      <t>スイリ</t>
    </rPh>
    <rPh sb="2" eb="3">
      <t>ヒ</t>
    </rPh>
    <phoneticPr fontId="11"/>
  </si>
  <si>
    <t>賃貸料・料金</t>
    <rPh sb="0" eb="3">
      <t>チンタイリョウ</t>
    </rPh>
    <rPh sb="4" eb="6">
      <t>リョウキン</t>
    </rPh>
    <phoneticPr fontId="11"/>
  </si>
  <si>
    <t>営</t>
    <rPh sb="0" eb="1">
      <t>エイ</t>
    </rPh>
    <phoneticPr fontId="11"/>
  </si>
  <si>
    <t>償却費</t>
    <rPh sb="0" eb="3">
      <t>ショウキャクヒ</t>
    </rPh>
    <phoneticPr fontId="11"/>
  </si>
  <si>
    <t>建物・施設費</t>
    <rPh sb="0" eb="2">
      <t>タテモノ</t>
    </rPh>
    <rPh sb="3" eb="6">
      <t>シセツヒ</t>
    </rPh>
    <phoneticPr fontId="11"/>
  </si>
  <si>
    <t>農機具費</t>
    <rPh sb="0" eb="3">
      <t>ノウキグ</t>
    </rPh>
    <rPh sb="3" eb="4">
      <t>ヒ</t>
    </rPh>
    <phoneticPr fontId="11"/>
  </si>
  <si>
    <t>苗代</t>
    <rPh sb="0" eb="1">
      <t>ナエ</t>
    </rPh>
    <rPh sb="1" eb="2">
      <t>ダイ</t>
    </rPh>
    <phoneticPr fontId="11"/>
  </si>
  <si>
    <t>本</t>
    <rPh sb="0" eb="1">
      <t>ホン</t>
    </rPh>
    <phoneticPr fontId="11"/>
  </si>
  <si>
    <t>率</t>
    <rPh sb="0" eb="1">
      <t>リツ</t>
    </rPh>
    <phoneticPr fontId="11"/>
  </si>
  <si>
    <t>耐用年数</t>
    <rPh sb="0" eb="2">
      <t>タイヨウ</t>
    </rPh>
    <rPh sb="2" eb="4">
      <t>ネンスウ</t>
    </rPh>
    <phoneticPr fontId="11"/>
  </si>
  <si>
    <t>大植物費</t>
    <rPh sb="0" eb="1">
      <t>オオ</t>
    </rPh>
    <rPh sb="1" eb="3">
      <t>ショクブツ</t>
    </rPh>
    <rPh sb="3" eb="4">
      <t>ヒ</t>
    </rPh>
    <phoneticPr fontId="11"/>
  </si>
  <si>
    <t>苗代の減価償却</t>
    <rPh sb="0" eb="1">
      <t>ナエ</t>
    </rPh>
    <rPh sb="1" eb="2">
      <t>ダイ</t>
    </rPh>
    <rPh sb="3" eb="5">
      <t>ゲンカ</t>
    </rPh>
    <rPh sb="5" eb="7">
      <t>ショウキャク</t>
    </rPh>
    <phoneticPr fontId="11"/>
  </si>
  <si>
    <t>償却資材修繕費</t>
    <rPh sb="0" eb="2">
      <t>ショウキャク</t>
    </rPh>
    <rPh sb="2" eb="4">
      <t>シザイ</t>
    </rPh>
    <rPh sb="4" eb="7">
      <t>シュウゼンヒ</t>
    </rPh>
    <phoneticPr fontId="11"/>
  </si>
  <si>
    <t>畜力費</t>
    <rPh sb="0" eb="1">
      <t>チク</t>
    </rPh>
    <rPh sb="1" eb="2">
      <t>リョク</t>
    </rPh>
    <rPh sb="2" eb="3">
      <t>ヒ</t>
    </rPh>
    <phoneticPr fontId="11"/>
  </si>
  <si>
    <t>費</t>
    <rPh sb="0" eb="1">
      <t>ヒ</t>
    </rPh>
    <phoneticPr fontId="11"/>
  </si>
  <si>
    <t>雇用労賃</t>
    <rPh sb="0" eb="2">
      <t>コヨウ</t>
    </rPh>
    <rPh sb="2" eb="4">
      <t>ロウチン</t>
    </rPh>
    <phoneticPr fontId="11"/>
  </si>
  <si>
    <t>日給×日にち×12ヶ月</t>
    <rPh sb="0" eb="2">
      <t>ニッキュウ</t>
    </rPh>
    <rPh sb="3" eb="4">
      <t>ヒ</t>
    </rPh>
    <rPh sb="10" eb="11">
      <t>ゲツ</t>
    </rPh>
    <phoneticPr fontId="11"/>
  </si>
  <si>
    <t>販売経費</t>
    <rPh sb="0" eb="2">
      <t>ハンバイ</t>
    </rPh>
    <rPh sb="2" eb="4">
      <t>ケイヒ</t>
    </rPh>
    <phoneticPr fontId="11"/>
  </si>
  <si>
    <t>②経営費合計</t>
    <rPh sb="1" eb="4">
      <t>ケイエイヒ</t>
    </rPh>
    <rPh sb="4" eb="6">
      <t>ゴウケイ</t>
    </rPh>
    <phoneticPr fontId="11"/>
  </si>
  <si>
    <t>③自家労働評価額</t>
    <rPh sb="1" eb="3">
      <t>ジカ</t>
    </rPh>
    <rPh sb="3" eb="5">
      <t>ロウドウ</t>
    </rPh>
    <rPh sb="5" eb="8">
      <t>ヒョウカガク</t>
    </rPh>
    <phoneticPr fontId="11"/>
  </si>
  <si>
    <t>④自作地地代</t>
    <rPh sb="1" eb="4">
      <t>ジサクチ</t>
    </rPh>
    <rPh sb="4" eb="6">
      <t>チダイ</t>
    </rPh>
    <phoneticPr fontId="11"/>
  </si>
  <si>
    <t>⑤経営資本利子</t>
    <rPh sb="1" eb="3">
      <t>ケイエイ</t>
    </rPh>
    <rPh sb="3" eb="5">
      <t>シホン</t>
    </rPh>
    <rPh sb="5" eb="7">
      <t>リシ</t>
    </rPh>
    <phoneticPr fontId="11"/>
  </si>
  <si>
    <t>⑥資本利子・地代金額算入生産費</t>
    <rPh sb="1" eb="3">
      <t>シホン</t>
    </rPh>
    <rPh sb="3" eb="5">
      <t>リシ</t>
    </rPh>
    <rPh sb="6" eb="8">
      <t>チダイ</t>
    </rPh>
    <rPh sb="8" eb="9">
      <t>キン</t>
    </rPh>
    <rPh sb="9" eb="10">
      <t>ガク</t>
    </rPh>
    <rPh sb="10" eb="12">
      <t>サンニュウ</t>
    </rPh>
    <rPh sb="12" eb="15">
      <t>セイサンヒ</t>
    </rPh>
    <phoneticPr fontId="11"/>
  </si>
  <si>
    <t>純益率算定基礎バックデーター</t>
    <rPh sb="0" eb="3">
      <t>ジュンエキリツ</t>
    </rPh>
    <rPh sb="3" eb="5">
      <t>サンテイ</t>
    </rPh>
    <rPh sb="5" eb="7">
      <t>キソ</t>
    </rPh>
    <phoneticPr fontId="11"/>
  </si>
  <si>
    <t>純益率</t>
    <rPh sb="0" eb="2">
      <t>ジュンエキ</t>
    </rPh>
    <rPh sb="2" eb="3">
      <t>リツ</t>
    </rPh>
    <phoneticPr fontId="11"/>
  </si>
  <si>
    <t>作付増減</t>
    <rPh sb="0" eb="2">
      <t>サクツケ</t>
    </rPh>
    <rPh sb="2" eb="4">
      <t>ゾウゲン</t>
    </rPh>
    <phoneticPr fontId="11"/>
  </si>
  <si>
    <t>流動資本</t>
    <rPh sb="0" eb="2">
      <t>リュウドウ</t>
    </rPh>
    <rPh sb="2" eb="4">
      <t>シホン</t>
    </rPh>
    <phoneticPr fontId="11"/>
  </si>
  <si>
    <t>労働資本</t>
    <rPh sb="0" eb="2">
      <t>ロウドウ</t>
    </rPh>
    <rPh sb="2" eb="4">
      <t>シホン</t>
    </rPh>
    <phoneticPr fontId="11"/>
  </si>
  <si>
    <t>単収増加</t>
    <rPh sb="0" eb="1">
      <t>タン</t>
    </rPh>
    <rPh sb="1" eb="2">
      <t>オサム</t>
    </rPh>
    <rPh sb="2" eb="3">
      <t>ゾウ</t>
    </rPh>
    <rPh sb="3" eb="4">
      <t>カ</t>
    </rPh>
    <phoneticPr fontId="11"/>
  </si>
  <si>
    <t>固定資本評価額</t>
    <rPh sb="0" eb="2">
      <t>コテイ</t>
    </rPh>
    <rPh sb="2" eb="4">
      <t>シホン</t>
    </rPh>
    <rPh sb="4" eb="7">
      <t>ヒョウカガク</t>
    </rPh>
    <phoneticPr fontId="11"/>
  </si>
  <si>
    <t>経営資本利子</t>
    <rPh sb="0" eb="2">
      <t>ケイエイ</t>
    </rPh>
    <rPh sb="2" eb="4">
      <t>シホン</t>
    </rPh>
    <rPh sb="4" eb="6">
      <t>リシ</t>
    </rPh>
    <phoneticPr fontId="11"/>
  </si>
  <si>
    <t>作付増減の場合の純益率</t>
    <rPh sb="0" eb="2">
      <t>サクツケ</t>
    </rPh>
    <rPh sb="2" eb="4">
      <t>ゾウゲン</t>
    </rPh>
    <rPh sb="5" eb="7">
      <t>バアイ</t>
    </rPh>
    <rPh sb="8" eb="11">
      <t>ジュンエキリツ</t>
    </rPh>
    <phoneticPr fontId="11"/>
  </si>
  <si>
    <t>100－｛［資本利子・地代金額算入生産費－（償却費＋水利費＋地代）］÷単位面積当たり生産物評価額｝×100</t>
    <rPh sb="6" eb="8">
      <t>シホン</t>
    </rPh>
    <rPh sb="8" eb="10">
      <t>リシ</t>
    </rPh>
    <rPh sb="11" eb="13">
      <t>チダイ</t>
    </rPh>
    <rPh sb="13" eb="15">
      <t>キンガク</t>
    </rPh>
    <rPh sb="15" eb="17">
      <t>サンニュウ</t>
    </rPh>
    <rPh sb="17" eb="20">
      <t>セイサンヒ</t>
    </rPh>
    <rPh sb="22" eb="25">
      <t>ショウキャクヒ</t>
    </rPh>
    <rPh sb="26" eb="28">
      <t>スイリ</t>
    </rPh>
    <rPh sb="28" eb="29">
      <t>ヒ</t>
    </rPh>
    <rPh sb="30" eb="32">
      <t>チダイ</t>
    </rPh>
    <rPh sb="35" eb="37">
      <t>タンイ</t>
    </rPh>
    <rPh sb="37" eb="39">
      <t>メンセキ</t>
    </rPh>
    <rPh sb="39" eb="40">
      <t>ア</t>
    </rPh>
    <rPh sb="42" eb="45">
      <t>セイサンブツ</t>
    </rPh>
    <rPh sb="45" eb="48">
      <t>ヒョウカガク</t>
    </rPh>
    <phoneticPr fontId="11"/>
  </si>
  <si>
    <t>（流動資本＋労働資本）÷２×（年利2％×生産期間率）＋固定資本評価額×（年利2％×生産期間率）</t>
    <rPh sb="1" eb="3">
      <t>リュウドウ</t>
    </rPh>
    <rPh sb="3" eb="5">
      <t>シホン</t>
    </rPh>
    <rPh sb="6" eb="8">
      <t>ロウドウ</t>
    </rPh>
    <rPh sb="8" eb="10">
      <t>シホン</t>
    </rPh>
    <rPh sb="15" eb="17">
      <t>ネンリ</t>
    </rPh>
    <rPh sb="20" eb="22">
      <t>セイサン</t>
    </rPh>
    <rPh sb="22" eb="24">
      <t>キカン</t>
    </rPh>
    <rPh sb="24" eb="25">
      <t>リツ</t>
    </rPh>
    <rPh sb="27" eb="29">
      <t>コテイ</t>
    </rPh>
    <rPh sb="29" eb="31">
      <t>シホン</t>
    </rPh>
    <rPh sb="31" eb="34">
      <t>ヒョウカガク</t>
    </rPh>
    <phoneticPr fontId="11"/>
  </si>
  <si>
    <t>流動資本＝経営費計－償却費－雇用労賃－販売経費</t>
    <rPh sb="0" eb="2">
      <t>リュウドウ</t>
    </rPh>
    <rPh sb="2" eb="4">
      <t>シホン</t>
    </rPh>
    <rPh sb="5" eb="8">
      <t>ケイエイヒ</t>
    </rPh>
    <rPh sb="8" eb="9">
      <t>ケイ</t>
    </rPh>
    <rPh sb="10" eb="13">
      <t>ショウキャクヒ</t>
    </rPh>
    <rPh sb="14" eb="16">
      <t>コヨウ</t>
    </rPh>
    <rPh sb="16" eb="18">
      <t>ロウチン</t>
    </rPh>
    <rPh sb="19" eb="21">
      <t>ハンバイ</t>
    </rPh>
    <rPh sb="21" eb="23">
      <t>ケイヒ</t>
    </rPh>
    <phoneticPr fontId="11"/>
  </si>
  <si>
    <t>労働資本＝雇用労賃＋自家労働評価額</t>
    <rPh sb="0" eb="2">
      <t>ロウドウ</t>
    </rPh>
    <rPh sb="2" eb="4">
      <t>シホン</t>
    </rPh>
    <rPh sb="5" eb="7">
      <t>コヨウ</t>
    </rPh>
    <rPh sb="7" eb="9">
      <t>ロウチン</t>
    </rPh>
    <rPh sb="10" eb="12">
      <t>ジカ</t>
    </rPh>
    <rPh sb="12" eb="14">
      <t>ロウドウ</t>
    </rPh>
    <rPh sb="14" eb="17">
      <t>ヒョウカガク</t>
    </rPh>
    <phoneticPr fontId="11"/>
  </si>
  <si>
    <t>固定資本評価額＝新調価格×調査開始現在価×調査品目負担率</t>
    <rPh sb="0" eb="2">
      <t>コテイ</t>
    </rPh>
    <rPh sb="2" eb="4">
      <t>シホン</t>
    </rPh>
    <rPh sb="4" eb="7">
      <t>ヒョウカガク</t>
    </rPh>
    <rPh sb="8" eb="10">
      <t>シンチョウ</t>
    </rPh>
    <rPh sb="10" eb="12">
      <t>カカク</t>
    </rPh>
    <rPh sb="13" eb="15">
      <t>チョウサ</t>
    </rPh>
    <rPh sb="15" eb="17">
      <t>カイシ</t>
    </rPh>
    <rPh sb="17" eb="19">
      <t>ゲンザイ</t>
    </rPh>
    <rPh sb="19" eb="20">
      <t>アタイ</t>
    </rPh>
    <rPh sb="21" eb="23">
      <t>チョウサ</t>
    </rPh>
    <rPh sb="23" eb="25">
      <t>ヒンモク</t>
    </rPh>
    <rPh sb="25" eb="28">
      <t>フタンリツ</t>
    </rPh>
    <phoneticPr fontId="11"/>
  </si>
  <si>
    <t>Ⅰ.補助事業の概要</t>
    <rPh sb="2" eb="4">
      <t>ホジョ</t>
    </rPh>
    <rPh sb="4" eb="6">
      <t>ジギョウ</t>
    </rPh>
    <rPh sb="7" eb="9">
      <t>ガイヨウ</t>
    </rPh>
    <phoneticPr fontId="12"/>
  </si>
  <si>
    <t>補助金の内訳</t>
    <rPh sb="0" eb="3">
      <t>ホジョキン</t>
    </rPh>
    <rPh sb="4" eb="6">
      <t>ウチワケ</t>
    </rPh>
    <phoneticPr fontId="12"/>
  </si>
  <si>
    <t>１．事業主体</t>
    <rPh sb="2" eb="4">
      <t>ジギョウ</t>
    </rPh>
    <rPh sb="4" eb="6">
      <t>シュタイ</t>
    </rPh>
    <phoneticPr fontId="12"/>
  </si>
  <si>
    <t>国</t>
    <rPh sb="0" eb="1">
      <t>クニ</t>
    </rPh>
    <phoneticPr fontId="12"/>
  </si>
  <si>
    <t>県</t>
    <rPh sb="0" eb="1">
      <t>ケン</t>
    </rPh>
    <phoneticPr fontId="12"/>
  </si>
  <si>
    <t>市町村</t>
    <rPh sb="0" eb="3">
      <t>シチョウソン</t>
    </rPh>
    <phoneticPr fontId="12"/>
  </si>
  <si>
    <t>補助金合計</t>
    <rPh sb="0" eb="3">
      <t>ホジョキン</t>
    </rPh>
    <rPh sb="3" eb="5">
      <t>ゴウケイ</t>
    </rPh>
    <phoneticPr fontId="12"/>
  </si>
  <si>
    <t>２．事業費</t>
    <rPh sb="2" eb="5">
      <t>ジギョウヒ</t>
    </rPh>
    <phoneticPr fontId="12"/>
  </si>
  <si>
    <t>円（税込み）</t>
    <rPh sb="0" eb="1">
      <t>エン</t>
    </rPh>
    <rPh sb="2" eb="4">
      <t>ゼイコ</t>
    </rPh>
    <phoneticPr fontId="12"/>
  </si>
  <si>
    <t>３.うち消費税</t>
    <rPh sb="4" eb="7">
      <t>ショウヒゼイ</t>
    </rPh>
    <phoneticPr fontId="12"/>
  </si>
  <si>
    <t>４．本体価額</t>
    <rPh sb="2" eb="4">
      <t>ホンタイ</t>
    </rPh>
    <rPh sb="4" eb="6">
      <t>カガク</t>
    </rPh>
    <phoneticPr fontId="12"/>
  </si>
  <si>
    <t>５．補助金額</t>
    <rPh sb="2" eb="4">
      <t>ホジョ</t>
    </rPh>
    <rPh sb="4" eb="6">
      <t>キンガク</t>
    </rPh>
    <phoneticPr fontId="12"/>
  </si>
  <si>
    <t>円</t>
    <rPh sb="0" eb="1">
      <t>エン</t>
    </rPh>
    <phoneticPr fontId="12"/>
  </si>
  <si>
    <t>Ⅱ.リース投資資産の計算</t>
    <rPh sb="5" eb="7">
      <t>トウシ</t>
    </rPh>
    <rPh sb="7" eb="9">
      <t>シサン</t>
    </rPh>
    <rPh sb="10" eb="12">
      <t>ケイサン</t>
    </rPh>
    <phoneticPr fontId="12"/>
  </si>
  <si>
    <t>固定資産取得額</t>
    <rPh sb="0" eb="2">
      <t>コテイ</t>
    </rPh>
    <rPh sb="2" eb="4">
      <t>シサン</t>
    </rPh>
    <rPh sb="4" eb="6">
      <t>シュトク</t>
    </rPh>
    <rPh sb="6" eb="7">
      <t>ガク</t>
    </rPh>
    <phoneticPr fontId="12"/>
  </si>
  <si>
    <t>消費税額（外税）</t>
    <rPh sb="0" eb="3">
      <t>ショウヒゼイ</t>
    </rPh>
    <rPh sb="3" eb="4">
      <t>ガク</t>
    </rPh>
    <rPh sb="5" eb="6">
      <t>ソト</t>
    </rPh>
    <rPh sb="6" eb="7">
      <t>ゼイ</t>
    </rPh>
    <phoneticPr fontId="12"/>
  </si>
  <si>
    <t>リース投資資産額</t>
    <rPh sb="3" eb="5">
      <t>トウシ</t>
    </rPh>
    <rPh sb="5" eb="7">
      <t>シサン</t>
    </rPh>
    <rPh sb="7" eb="8">
      <t>ガク</t>
    </rPh>
    <phoneticPr fontId="12"/>
  </si>
  <si>
    <t>８．運用金利</t>
    <rPh sb="2" eb="4">
      <t>ウンヨウ</t>
    </rPh>
    <rPh sb="4" eb="5">
      <t>キン</t>
    </rPh>
    <rPh sb="5" eb="6">
      <t>リソク</t>
    </rPh>
    <phoneticPr fontId="12"/>
  </si>
  <si>
    <t>％／年</t>
    <rPh sb="2" eb="3">
      <t>ネン</t>
    </rPh>
    <phoneticPr fontId="12"/>
  </si>
  <si>
    <t>９．利息相当額の計算</t>
    <rPh sb="2" eb="4">
      <t>リソク</t>
    </rPh>
    <rPh sb="4" eb="6">
      <t>ソウトウ</t>
    </rPh>
    <rPh sb="6" eb="7">
      <t>ガク</t>
    </rPh>
    <rPh sb="8" eb="10">
      <t>ケイサン</t>
    </rPh>
    <phoneticPr fontId="12"/>
  </si>
  <si>
    <t>利息相当額を定額法により各期に配分</t>
    <rPh sb="0" eb="2">
      <t>リソク</t>
    </rPh>
    <rPh sb="2" eb="4">
      <t>ソウトウ</t>
    </rPh>
    <rPh sb="4" eb="5">
      <t>ガク</t>
    </rPh>
    <rPh sb="6" eb="8">
      <t>テイガク</t>
    </rPh>
    <rPh sb="8" eb="9">
      <t>ホウ</t>
    </rPh>
    <rPh sb="12" eb="14">
      <t>カクキ</t>
    </rPh>
    <rPh sb="15" eb="17">
      <t>ハイブン</t>
    </rPh>
    <phoneticPr fontId="12"/>
  </si>
  <si>
    <t>10．リース期間</t>
    <rPh sb="6" eb="8">
      <t>キカン</t>
    </rPh>
    <phoneticPr fontId="12"/>
  </si>
  <si>
    <t>年</t>
    <rPh sb="0" eb="1">
      <t>ネン</t>
    </rPh>
    <phoneticPr fontId="12"/>
  </si>
  <si>
    <t>11．受益面積</t>
    <rPh sb="3" eb="5">
      <t>ジュエキ</t>
    </rPh>
    <rPh sb="5" eb="7">
      <t>メンセキ</t>
    </rPh>
    <phoneticPr fontId="12"/>
  </si>
  <si>
    <t>Ⅲ．算定表</t>
    <rPh sb="2" eb="4">
      <t>サンテイ</t>
    </rPh>
    <rPh sb="4" eb="5">
      <t>ヒョウ</t>
    </rPh>
    <phoneticPr fontId="12"/>
  </si>
  <si>
    <t>計算</t>
    <rPh sb="0" eb="2">
      <t>ケイサン</t>
    </rPh>
    <phoneticPr fontId="12"/>
  </si>
  <si>
    <t>平成26年度</t>
    <rPh sb="0" eb="2">
      <t>ヘイセイ</t>
    </rPh>
    <phoneticPr fontId="12"/>
  </si>
  <si>
    <t>返済残金（Ａ）</t>
    <rPh sb="0" eb="2">
      <t>ヘンサイ</t>
    </rPh>
    <rPh sb="2" eb="4">
      <t>ザンキン</t>
    </rPh>
    <phoneticPr fontId="12"/>
  </si>
  <si>
    <t>年間返済額　　　①</t>
    <rPh sb="0" eb="2">
      <t>ネンカン</t>
    </rPh>
    <rPh sb="2" eb="5">
      <t>ヘンサイガク</t>
    </rPh>
    <phoneticPr fontId="12"/>
  </si>
  <si>
    <t>Ａ/期間</t>
    <rPh sb="2" eb="4">
      <t>キカン</t>
    </rPh>
    <phoneticPr fontId="12"/>
  </si>
  <si>
    <t>金利(Ａ×金利）</t>
    <rPh sb="0" eb="2">
      <t>キンリ</t>
    </rPh>
    <rPh sb="5" eb="7">
      <t>キンリ</t>
    </rPh>
    <phoneticPr fontId="12"/>
  </si>
  <si>
    <t>金利平均額　　　②</t>
    <rPh sb="0" eb="2">
      <t>キンリ</t>
    </rPh>
    <rPh sb="2" eb="5">
      <t>ヘイキンガク</t>
    </rPh>
    <phoneticPr fontId="12"/>
  </si>
  <si>
    <t>金利計/期間</t>
    <rPh sb="0" eb="2">
      <t>キンリ</t>
    </rPh>
    <rPh sb="2" eb="3">
      <t>ケイ</t>
    </rPh>
    <rPh sb="4" eb="6">
      <t>キカン</t>
    </rPh>
    <phoneticPr fontId="12"/>
  </si>
  <si>
    <t>徴収利用料額　　③</t>
    <rPh sb="0" eb="1">
      <t>チョウ</t>
    </rPh>
    <rPh sb="1" eb="2">
      <t>シュウ</t>
    </rPh>
    <rPh sb="2" eb="4">
      <t>リヨウ</t>
    </rPh>
    <rPh sb="4" eb="5">
      <t>リョウ</t>
    </rPh>
    <rPh sb="5" eb="6">
      <t>ガク</t>
    </rPh>
    <phoneticPr fontId="12"/>
  </si>
  <si>
    <t>うち消費税④</t>
    <rPh sb="2" eb="5">
      <t>ショウヒゼイ</t>
    </rPh>
    <phoneticPr fontId="12"/>
  </si>
  <si>
    <t>受益面積（㎡）　④</t>
    <rPh sb="0" eb="2">
      <t>ジュエキ</t>
    </rPh>
    <rPh sb="2" eb="4">
      <t>メンセキ</t>
    </rPh>
    <phoneticPr fontId="12"/>
  </si>
  <si>
    <t>利用料／㎡（税込）　⑤</t>
    <rPh sb="0" eb="3">
      <t>リヨウリョウ</t>
    </rPh>
    <rPh sb="6" eb="7">
      <t>ゼイ</t>
    </rPh>
    <rPh sb="7" eb="8">
      <t>コミ</t>
    </rPh>
    <phoneticPr fontId="12"/>
  </si>
  <si>
    <t>平成28年度</t>
    <rPh sb="0" eb="2">
      <t>ヘイセイ</t>
    </rPh>
    <phoneticPr fontId="12"/>
  </si>
  <si>
    <t>平成29年度</t>
    <rPh sb="0" eb="2">
      <t>ヘイセイ</t>
    </rPh>
    <phoneticPr fontId="12"/>
  </si>
  <si>
    <t>平成30年度</t>
    <rPh sb="0" eb="2">
      <t>ヘイセイ</t>
    </rPh>
    <phoneticPr fontId="12"/>
  </si>
  <si>
    <t>目標収支計画（１０アール当たり）</t>
    <rPh sb="0" eb="2">
      <t>モクヒョウ</t>
    </rPh>
    <rPh sb="2" eb="4">
      <t>シュウシ</t>
    </rPh>
    <rPh sb="4" eb="6">
      <t>ケイカク</t>
    </rPh>
    <rPh sb="12" eb="13">
      <t>アタ</t>
    </rPh>
    <phoneticPr fontId="14"/>
  </si>
  <si>
    <t>作物名</t>
    <rPh sb="0" eb="2">
      <t>サクモツ</t>
    </rPh>
    <rPh sb="2" eb="3">
      <t>メイ</t>
    </rPh>
    <phoneticPr fontId="14"/>
  </si>
  <si>
    <t>出荷量(Kg)</t>
    <rPh sb="0" eb="3">
      <t>シュッカリョウ</t>
    </rPh>
    <phoneticPr fontId="14"/>
  </si>
  <si>
    <t>単価(円/Kg)</t>
    <rPh sb="0" eb="2">
      <t>タンカ</t>
    </rPh>
    <rPh sb="3" eb="4">
      <t>エン</t>
    </rPh>
    <phoneticPr fontId="14"/>
  </si>
  <si>
    <t>生産額(円)</t>
    <rPh sb="0" eb="3">
      <t>セイサンガク</t>
    </rPh>
    <rPh sb="4" eb="5">
      <t>エン</t>
    </rPh>
    <phoneticPr fontId="14"/>
  </si>
  <si>
    <t>支　　　出　　　額　　　(円)</t>
    <rPh sb="0" eb="9">
      <t>シシュツガク</t>
    </rPh>
    <rPh sb="13" eb="14">
      <t>エン</t>
    </rPh>
    <phoneticPr fontId="14"/>
  </si>
  <si>
    <t>所得(円)</t>
    <rPh sb="0" eb="2">
      <t>ショトク</t>
    </rPh>
    <rPh sb="3" eb="4">
      <t>エン</t>
    </rPh>
    <phoneticPr fontId="14"/>
  </si>
  <si>
    <t>所得率(%)</t>
    <rPh sb="0" eb="3">
      <t>ショトクリツ</t>
    </rPh>
    <phoneticPr fontId="14"/>
  </si>
  <si>
    <t>生産経費</t>
    <rPh sb="0" eb="2">
      <t>セイサン</t>
    </rPh>
    <rPh sb="2" eb="4">
      <t>ケイヒ</t>
    </rPh>
    <phoneticPr fontId="14"/>
  </si>
  <si>
    <t>手数料</t>
    <rPh sb="0" eb="3">
      <t>テスウリョウ</t>
    </rPh>
    <phoneticPr fontId="14"/>
  </si>
  <si>
    <t>選果料</t>
    <rPh sb="0" eb="2">
      <t>センカ</t>
    </rPh>
    <rPh sb="2" eb="3">
      <t>リョウ</t>
    </rPh>
    <phoneticPr fontId="14"/>
  </si>
  <si>
    <t>運賃</t>
    <rPh sb="0" eb="2">
      <t>ウンチン</t>
    </rPh>
    <phoneticPr fontId="14"/>
  </si>
  <si>
    <t>包装費</t>
    <rPh sb="0" eb="3">
      <t>ホウソウヒ</t>
    </rPh>
    <phoneticPr fontId="14"/>
  </si>
  <si>
    <t>計</t>
    <rPh sb="0" eb="1">
      <t>ケイ</t>
    </rPh>
    <phoneticPr fontId="14"/>
  </si>
  <si>
    <t>項　　目</t>
    <rPh sb="0" eb="4">
      <t>コウモク</t>
    </rPh>
    <phoneticPr fontId="14"/>
  </si>
  <si>
    <t>金額(円)</t>
    <rPh sb="0" eb="2">
      <t>キンガク</t>
    </rPh>
    <rPh sb="3" eb="4">
      <t>エン</t>
    </rPh>
    <phoneticPr fontId="14"/>
  </si>
  <si>
    <t>備　　　　　　　考</t>
    <rPh sb="0" eb="9">
      <t>ビコウ</t>
    </rPh>
    <phoneticPr fontId="14"/>
  </si>
  <si>
    <t>総本数</t>
    <rPh sb="0" eb="1">
      <t>ソウ</t>
    </rPh>
    <rPh sb="1" eb="2">
      <t>ホン</t>
    </rPh>
    <rPh sb="2" eb="3">
      <t>スウ</t>
    </rPh>
    <phoneticPr fontId="14"/>
  </si>
  <si>
    <t>間口</t>
    <rPh sb="0" eb="2">
      <t>マグチ</t>
    </rPh>
    <phoneticPr fontId="14"/>
  </si>
  <si>
    <t>本数</t>
    <rPh sb="0" eb="2">
      <t>ホンスウ</t>
    </rPh>
    <phoneticPr fontId="14"/>
  </si>
  <si>
    <t>余り</t>
    <rPh sb="0" eb="1">
      <t>アマ</t>
    </rPh>
    <phoneticPr fontId="14"/>
  </si>
  <si>
    <t>残り</t>
    <rPh sb="0" eb="1">
      <t>ノコ</t>
    </rPh>
    <phoneticPr fontId="14"/>
  </si>
  <si>
    <t>長さ</t>
    <rPh sb="0" eb="1">
      <t>ナガ</t>
    </rPh>
    <phoneticPr fontId="14"/>
  </si>
  <si>
    <t>面積</t>
    <rPh sb="0" eb="2">
      <t>メンセキ</t>
    </rPh>
    <phoneticPr fontId="14"/>
  </si>
  <si>
    <t>連棟</t>
    <rPh sb="0" eb="1">
      <t>レン</t>
    </rPh>
    <rPh sb="1" eb="2">
      <t>トウ</t>
    </rPh>
    <phoneticPr fontId="14"/>
  </si>
  <si>
    <t>総合面積</t>
    <rPh sb="0" eb="2">
      <t>ソウゴウ</t>
    </rPh>
    <rPh sb="2" eb="4">
      <t>メンセキ</t>
    </rPh>
    <phoneticPr fontId="14"/>
  </si>
  <si>
    <t>生　産　経　費</t>
    <rPh sb="0" eb="1">
      <t>ショウ</t>
    </rPh>
    <rPh sb="2" eb="3">
      <t>サン</t>
    </rPh>
    <rPh sb="4" eb="7">
      <t>ケイヒ</t>
    </rPh>
    <phoneticPr fontId="14"/>
  </si>
  <si>
    <t>肥料代</t>
    <rPh sb="0" eb="2">
      <t>ヒリョウ</t>
    </rPh>
    <rPh sb="2" eb="3">
      <t>ダイ</t>
    </rPh>
    <phoneticPr fontId="14"/>
  </si>
  <si>
    <t>農薬代</t>
    <rPh sb="0" eb="2">
      <t>ノウヤク</t>
    </rPh>
    <rPh sb="2" eb="3">
      <t>ダイ</t>
    </rPh>
    <phoneticPr fontId="14"/>
  </si>
  <si>
    <t>光熱費</t>
    <rPh sb="0" eb="3">
      <t>コウネツヒ</t>
    </rPh>
    <phoneticPr fontId="14"/>
  </si>
  <si>
    <t>施設共済費</t>
    <rPh sb="0" eb="2">
      <t>シセツ</t>
    </rPh>
    <rPh sb="2" eb="4">
      <t>キョウサイ</t>
    </rPh>
    <rPh sb="4" eb="5">
      <t>ヒ</t>
    </rPh>
    <phoneticPr fontId="14"/>
  </si>
  <si>
    <t>諸資材費</t>
    <rPh sb="0" eb="1">
      <t>ショ</t>
    </rPh>
    <rPh sb="1" eb="4">
      <t>シザイヒ</t>
    </rPh>
    <phoneticPr fontId="14"/>
  </si>
  <si>
    <t>修繕費</t>
    <rPh sb="0" eb="3">
      <t>シュウゼンヒ</t>
    </rPh>
    <phoneticPr fontId="14"/>
  </si>
  <si>
    <t>利用料</t>
    <rPh sb="0" eb="2">
      <t>リヨウ</t>
    </rPh>
    <rPh sb="2" eb="3">
      <t>リョウ</t>
    </rPh>
    <phoneticPr fontId="14"/>
  </si>
  <si>
    <t>連結</t>
    <rPh sb="0" eb="2">
      <t>レンケツ</t>
    </rPh>
    <phoneticPr fontId="14"/>
  </si>
  <si>
    <t>棟数</t>
    <rPh sb="0" eb="1">
      <t>トウ</t>
    </rPh>
    <rPh sb="1" eb="2">
      <t>カズ</t>
    </rPh>
    <phoneticPr fontId="14"/>
  </si>
  <si>
    <t>減価償却費</t>
    <rPh sb="0" eb="2">
      <t>ゲンカ</t>
    </rPh>
    <rPh sb="2" eb="5">
      <t>ショウキャクヒ</t>
    </rPh>
    <phoneticPr fontId="14"/>
  </si>
  <si>
    <t>販売量（ｔ）</t>
    <phoneticPr fontId="11"/>
  </si>
  <si>
    <t>（２）主要作物の生産状況（目標）</t>
    <phoneticPr fontId="11"/>
  </si>
  <si>
    <t>新規就農</t>
    <rPh sb="0" eb="2">
      <t>シンキ</t>
    </rPh>
    <rPh sb="2" eb="4">
      <t>シュウノウ</t>
    </rPh>
    <phoneticPr fontId="12"/>
  </si>
  <si>
    <t>野菜温室工事</t>
    <rPh sb="0" eb="2">
      <t>ヤサイ</t>
    </rPh>
    <rPh sb="2" eb="4">
      <t>オンシツ</t>
    </rPh>
    <rPh sb="4" eb="6">
      <t>コウジ</t>
    </rPh>
    <phoneticPr fontId="11"/>
  </si>
  <si>
    <t>内部台風対策工事</t>
    <rPh sb="0" eb="2">
      <t>ナイブ</t>
    </rPh>
    <rPh sb="2" eb="4">
      <t>タイフウ</t>
    </rPh>
    <rPh sb="4" eb="6">
      <t>タイサク</t>
    </rPh>
    <rPh sb="6" eb="8">
      <t>コウジ</t>
    </rPh>
    <phoneticPr fontId="11"/>
  </si>
  <si>
    <t>千円以下切り捨て</t>
    <rPh sb="0" eb="1">
      <t>セン</t>
    </rPh>
    <rPh sb="1" eb="4">
      <t>エンイカ</t>
    </rPh>
    <rPh sb="4" eb="5">
      <t>キ</t>
    </rPh>
    <rPh sb="6" eb="7">
      <t>ス</t>
    </rPh>
    <phoneticPr fontId="12"/>
  </si>
  <si>
    <t>種苗費</t>
    <rPh sb="0" eb="2">
      <t>シュビョウ</t>
    </rPh>
    <rPh sb="2" eb="3">
      <t>ヒ</t>
    </rPh>
    <phoneticPr fontId="12"/>
  </si>
  <si>
    <t>平成27年度</t>
    <rPh sb="0" eb="2">
      <t>ヘイセイ</t>
    </rPh>
    <phoneticPr fontId="12"/>
  </si>
  <si>
    <t>箱代（７ｋｇ）</t>
    <rPh sb="0" eb="2">
      <t>ハコダイ</t>
    </rPh>
    <phoneticPr fontId="12"/>
  </si>
  <si>
    <t>種苗費</t>
    <rPh sb="0" eb="2">
      <t>シュビョウ</t>
    </rPh>
    <rPh sb="2" eb="3">
      <t>ヒ</t>
    </rPh>
    <phoneticPr fontId="14"/>
  </si>
  <si>
    <t>露地</t>
    <rPh sb="0" eb="2">
      <t>ロジ</t>
    </rPh>
    <phoneticPr fontId="11"/>
  </si>
  <si>
    <t>532.4時間×630円／自給（２人分労働時間）</t>
    <rPh sb="5" eb="7">
      <t>ジカン</t>
    </rPh>
    <rPh sb="11" eb="12">
      <t>エン</t>
    </rPh>
    <rPh sb="13" eb="15">
      <t>ジキュウ</t>
    </rPh>
    <rPh sb="17" eb="18">
      <t>ニン</t>
    </rPh>
    <rPh sb="18" eb="19">
      <t>ブン</t>
    </rPh>
    <rPh sb="19" eb="21">
      <t>ロウドウ</t>
    </rPh>
    <rPh sb="21" eb="23">
      <t>ジカン</t>
    </rPh>
    <phoneticPr fontId="11"/>
  </si>
  <si>
    <t>堆肥</t>
  </si>
  <si>
    <t>ﾃﾞｨｰｾﾞﾙ</t>
  </si>
  <si>
    <t>ｵｲﾙｸﾞﾘｰｽ</t>
  </si>
  <si>
    <t>誘引ﾛｰﾌﾟ</t>
  </si>
  <si>
    <t>園芸ﾛｰﾌﾟ</t>
  </si>
  <si>
    <t>防風防虫ﾈｯﾄ</t>
  </si>
  <si>
    <t>揚水ﾎﾟﾝﾌﾟ</t>
  </si>
  <si>
    <t>数量</t>
    <rPh sb="0" eb="2">
      <t>スウリョウ</t>
    </rPh>
    <phoneticPr fontId="12"/>
  </si>
  <si>
    <t>販売額</t>
    <rPh sb="0" eb="3">
      <t>ハンバイガク</t>
    </rPh>
    <phoneticPr fontId="12"/>
  </si>
  <si>
    <t>単価</t>
    <rPh sb="0" eb="2">
      <t>タンカ</t>
    </rPh>
    <phoneticPr fontId="12"/>
  </si>
  <si>
    <t>平均</t>
    <rPh sb="0" eb="2">
      <t>ヘイキン</t>
    </rPh>
    <phoneticPr fontId="12"/>
  </si>
  <si>
    <t>出荷数量</t>
    <rPh sb="0" eb="2">
      <t>シュッカ</t>
    </rPh>
    <rPh sb="2" eb="4">
      <t>スウリョウ</t>
    </rPh>
    <phoneticPr fontId="12"/>
  </si>
  <si>
    <t>面積</t>
    <rPh sb="0" eb="2">
      <t>メンセキ</t>
    </rPh>
    <phoneticPr fontId="12"/>
  </si>
  <si>
    <t>現況</t>
    <rPh sb="0" eb="2">
      <t>ゲンキョウ</t>
    </rPh>
    <phoneticPr fontId="12"/>
  </si>
  <si>
    <t>目標</t>
    <rPh sb="0" eb="2">
      <t>モクヒョウ</t>
    </rPh>
    <phoneticPr fontId="12"/>
  </si>
  <si>
    <t>備考</t>
    <rPh sb="0" eb="2">
      <t>ビコウ</t>
    </rPh>
    <phoneticPr fontId="12"/>
  </si>
  <si>
    <t>有機685号</t>
    <rPh sb="0" eb="2">
      <t>ユウキ</t>
    </rPh>
    <rPh sb="5" eb="6">
      <t>ゴウ</t>
    </rPh>
    <phoneticPr fontId="12"/>
  </si>
  <si>
    <t>くみあい1号</t>
    <rPh sb="5" eb="6">
      <t>ゴウ</t>
    </rPh>
    <phoneticPr fontId="12"/>
  </si>
  <si>
    <t>くみあい2号</t>
    <rPh sb="5" eb="6">
      <t>ゴウ</t>
    </rPh>
    <phoneticPr fontId="12"/>
  </si>
  <si>
    <t>エクセル線</t>
    <rPh sb="4" eb="5">
      <t>セン</t>
    </rPh>
    <phoneticPr fontId="12"/>
  </si>
  <si>
    <t>近紫外線ｶｯﾄﾌｨﾙﾑ</t>
    <rPh sb="0" eb="1">
      <t>キン</t>
    </rPh>
    <rPh sb="1" eb="4">
      <t>シガイセン</t>
    </rPh>
    <phoneticPr fontId="12"/>
  </si>
  <si>
    <t>ピーマン積算資料　表－6参照</t>
  </si>
  <si>
    <t>ピーマン積算資料　表－2参照</t>
  </si>
  <si>
    <t>ピーマン積算資料　表－3参照</t>
  </si>
  <si>
    <t>ピーマン積算資料　表－4参照</t>
  </si>
  <si>
    <t>ピーマン収支計画積算　表-3　農薬代の積算（10a当たり）</t>
    <rPh sb="15" eb="17">
      <t>ノウヤク</t>
    </rPh>
    <rPh sb="17" eb="18">
      <t>ダイ</t>
    </rPh>
    <rPh sb="19" eb="21">
      <t>セキサン</t>
    </rPh>
    <rPh sb="25" eb="26">
      <t>ア</t>
    </rPh>
    <phoneticPr fontId="12"/>
  </si>
  <si>
    <t>ピーマン収支計画積算　表-2　肥料費の積算（10a当たり）</t>
    <rPh sb="15" eb="18">
      <t>ヒリョウヒ</t>
    </rPh>
    <rPh sb="19" eb="21">
      <t>セキサン</t>
    </rPh>
    <rPh sb="25" eb="26">
      <t>ア</t>
    </rPh>
    <phoneticPr fontId="12"/>
  </si>
  <si>
    <t>ピーマン収支計画積算　表-1　種苗費の積算（10a当たり）</t>
    <rPh sb="15" eb="17">
      <t>シュビョウ</t>
    </rPh>
    <rPh sb="17" eb="18">
      <t>ヒ</t>
    </rPh>
    <rPh sb="19" eb="21">
      <t>セキサン</t>
    </rPh>
    <rPh sb="25" eb="26">
      <t>ア</t>
    </rPh>
    <phoneticPr fontId="12"/>
  </si>
  <si>
    <t>ピーマン収支計画積算　表-4　光熱費の積算(10a当たり）</t>
    <rPh sb="15" eb="18">
      <t>コウネツヒ</t>
    </rPh>
    <rPh sb="19" eb="21">
      <t>セキサン</t>
    </rPh>
    <rPh sb="25" eb="26">
      <t>ア</t>
    </rPh>
    <phoneticPr fontId="12"/>
  </si>
  <si>
    <t>ピーマン収支計画積算　表-5　諸資材費の積算（10a当たり）</t>
    <rPh sb="15" eb="16">
      <t>ショ</t>
    </rPh>
    <rPh sb="16" eb="19">
      <t>シザイヒ</t>
    </rPh>
    <rPh sb="20" eb="22">
      <t>セキサン</t>
    </rPh>
    <rPh sb="26" eb="27">
      <t>ア</t>
    </rPh>
    <phoneticPr fontId="12"/>
  </si>
  <si>
    <t>ピーマン収支計画積算　表-6　修繕費の積算</t>
    <rPh sb="15" eb="18">
      <t>シュウゼンヒ</t>
    </rPh>
    <rPh sb="19" eb="21">
      <t>セキサン</t>
    </rPh>
    <phoneticPr fontId="12"/>
  </si>
  <si>
    <t>ピーマン収支計画積算　表-7　減価償却費の積算</t>
    <rPh sb="15" eb="17">
      <t>ゲンカ</t>
    </rPh>
    <rPh sb="17" eb="20">
      <t>ショウキャクヒ</t>
    </rPh>
    <rPh sb="21" eb="23">
      <t>セキサン</t>
    </rPh>
    <phoneticPr fontId="12"/>
  </si>
  <si>
    <t>ピーマン収支計画積算　表-8　包装費の積算</t>
    <rPh sb="15" eb="17">
      <t>ホウソウ</t>
    </rPh>
    <rPh sb="17" eb="18">
      <t>ヒ</t>
    </rPh>
    <rPh sb="19" eb="21">
      <t>セキサン</t>
    </rPh>
    <phoneticPr fontId="12"/>
  </si>
  <si>
    <t>※必要量算定</t>
    <rPh sb="1" eb="4">
      <t>ヒツヨウリョウ</t>
    </rPh>
    <rPh sb="4" eb="6">
      <t>サンテイ</t>
    </rPh>
    <phoneticPr fontId="12"/>
  </si>
  <si>
    <t>目標反収</t>
    <rPh sb="0" eb="2">
      <t>モクヒョウ</t>
    </rPh>
    <rPh sb="2" eb="4">
      <t>タンシュウ</t>
    </rPh>
    <phoneticPr fontId="12"/>
  </si>
  <si>
    <t>＝</t>
    <phoneticPr fontId="12"/>
  </si>
  <si>
    <t>殺虫剤</t>
    <rPh sb="0" eb="3">
      <t>サッチュウザイ</t>
    </rPh>
    <phoneticPr fontId="12"/>
  </si>
  <si>
    <t>殺菌剤</t>
    <rPh sb="0" eb="2">
      <t>サッキン</t>
    </rPh>
    <rPh sb="2" eb="3">
      <t>ザイ</t>
    </rPh>
    <phoneticPr fontId="12"/>
  </si>
  <si>
    <t>灌水施設工事</t>
    <rPh sb="0" eb="2">
      <t>カンスイ</t>
    </rPh>
    <rPh sb="2" eb="4">
      <t>シセツ</t>
    </rPh>
    <rPh sb="4" eb="6">
      <t>コウジ</t>
    </rPh>
    <phoneticPr fontId="12"/>
  </si>
  <si>
    <t>○定植　　　　△：収穫</t>
    <rPh sb="1" eb="3">
      <t>テイショク</t>
    </rPh>
    <rPh sb="9" eb="11">
      <t>シュウカク</t>
    </rPh>
    <phoneticPr fontId="11"/>
  </si>
  <si>
    <t>施設管理運営規則（案）</t>
    <rPh sb="0" eb="2">
      <t>シセツ</t>
    </rPh>
    <rPh sb="2" eb="4">
      <t>カンリ</t>
    </rPh>
    <rPh sb="4" eb="6">
      <t>ウンエイ</t>
    </rPh>
    <rPh sb="6" eb="8">
      <t>キソク</t>
    </rPh>
    <rPh sb="9" eb="10">
      <t>アン</t>
    </rPh>
    <phoneticPr fontId="11"/>
  </si>
  <si>
    <t>県内外市場、量販店へ</t>
    <rPh sb="0" eb="1">
      <t>ケン</t>
    </rPh>
    <rPh sb="1" eb="3">
      <t>ナイガイ</t>
    </rPh>
    <rPh sb="3" eb="5">
      <t>シジョウ</t>
    </rPh>
    <rPh sb="6" eb="9">
      <t>リョウハンテン</t>
    </rPh>
    <phoneticPr fontId="11"/>
  </si>
  <si>
    <t>２．優良農家実績</t>
    <rPh sb="2" eb="4">
      <t>ユウリョウ</t>
    </rPh>
    <rPh sb="4" eb="6">
      <t>ノウカ</t>
    </rPh>
    <rPh sb="6" eb="8">
      <t>ジッセキ</t>
    </rPh>
    <phoneticPr fontId="12"/>
  </si>
  <si>
    <t>農業経営技術指標</t>
    <rPh sb="0" eb="2">
      <t>ノウギョウ</t>
    </rPh>
    <rPh sb="2" eb="4">
      <t>ケイエイ</t>
    </rPh>
    <rPh sb="4" eb="6">
      <t>ギジュツ</t>
    </rPh>
    <rPh sb="6" eb="8">
      <t>シヒョウ</t>
    </rPh>
    <phoneticPr fontId="12"/>
  </si>
  <si>
    <t>ﾋﾟｰﾏﾝ(施設)</t>
    <rPh sb="6" eb="8">
      <t>シセツ</t>
    </rPh>
    <phoneticPr fontId="11"/>
  </si>
  <si>
    <t>ＭＡＸ単価とＭＩＮ単価を抜く　or　異常年度のみ抜く</t>
    <rPh sb="3" eb="5">
      <t>タンカ</t>
    </rPh>
    <rPh sb="9" eb="11">
      <t>タンカ</t>
    </rPh>
    <rPh sb="12" eb="13">
      <t>ヌ</t>
    </rPh>
    <rPh sb="18" eb="20">
      <t>イジョウ</t>
    </rPh>
    <rPh sb="20" eb="22">
      <t>ネンド</t>
    </rPh>
    <rPh sb="24" eb="25">
      <t>ヌ</t>
    </rPh>
    <phoneticPr fontId="12"/>
  </si>
  <si>
    <t>(仮)○○○野菜生産組合
（ピーマン）</t>
    <rPh sb="1" eb="2">
      <t>カリ</t>
    </rPh>
    <rPh sb="6" eb="8">
      <t>ヤサイ</t>
    </rPh>
    <rPh sb="8" eb="10">
      <t>セイサン</t>
    </rPh>
    <rPh sb="10" eb="12">
      <t>クミアイ</t>
    </rPh>
    <phoneticPr fontId="11"/>
  </si>
  <si>
    <t>(仮)○○○野菜生産組合</t>
    <rPh sb="1" eb="2">
      <t>カリ</t>
    </rPh>
    <rPh sb="6" eb="8">
      <t>ヤサイ</t>
    </rPh>
    <rPh sb="8" eb="10">
      <t>セイサン</t>
    </rPh>
    <rPh sb="10" eb="12">
      <t>クミアイ</t>
    </rPh>
    <phoneticPr fontId="11"/>
  </si>
  <si>
    <t>○○○区（○○○）</t>
    <rPh sb="3" eb="4">
      <t>ク</t>
    </rPh>
    <phoneticPr fontId="11"/>
  </si>
  <si>
    <t>○○○町○○○地区（○○○生産組合）</t>
    <rPh sb="3" eb="4">
      <t>マチ</t>
    </rPh>
    <rPh sb="7" eb="9">
      <t>チク</t>
    </rPh>
    <rPh sb="13" eb="15">
      <t>セイサン</t>
    </rPh>
    <rPh sb="15" eb="17">
      <t>クミアイ</t>
    </rPh>
    <phoneticPr fontId="11"/>
  </si>
  <si>
    <t>（１）敷地総面積図</t>
    <rPh sb="3" eb="5">
      <t>シキチ</t>
    </rPh>
    <rPh sb="5" eb="8">
      <t>ソウメンセキ</t>
    </rPh>
    <rPh sb="8" eb="9">
      <t>ズ</t>
    </rPh>
    <phoneticPr fontId="11"/>
  </si>
  <si>
    <t>施設総面積</t>
    <rPh sb="0" eb="2">
      <t>シセツ</t>
    </rPh>
    <rPh sb="2" eb="5">
      <t>ソウメンセキ</t>
    </rPh>
    <phoneticPr fontId="12"/>
  </si>
  <si>
    <t>施設
番号</t>
    <rPh sb="0" eb="2">
      <t>シセツ</t>
    </rPh>
    <rPh sb="3" eb="5">
      <t>バンゴウ</t>
    </rPh>
    <phoneticPr fontId="12"/>
  </si>
  <si>
    <t xml:space="preserve">受益農家名
</t>
    <rPh sb="0" eb="2">
      <t>ジュエキ</t>
    </rPh>
    <rPh sb="2" eb="4">
      <t>ノウカ</t>
    </rPh>
    <rPh sb="4" eb="5">
      <t>メイ</t>
    </rPh>
    <phoneticPr fontId="12"/>
  </si>
  <si>
    <t>設置場所</t>
    <rPh sb="0" eb="2">
      <t>セッチ</t>
    </rPh>
    <rPh sb="2" eb="4">
      <t>バショ</t>
    </rPh>
    <phoneticPr fontId="12"/>
  </si>
  <si>
    <t>施設
面積㎡</t>
    <rPh sb="0" eb="2">
      <t>シセツ</t>
    </rPh>
    <rPh sb="3" eb="5">
      <t>メンセキ</t>
    </rPh>
    <phoneticPr fontId="12"/>
  </si>
  <si>
    <t>敷地所有者</t>
    <rPh sb="0" eb="2">
      <t>シキチ</t>
    </rPh>
    <rPh sb="2" eb="5">
      <t>ショユウシャ</t>
    </rPh>
    <phoneticPr fontId="12"/>
  </si>
  <si>
    <t>権利の取得</t>
    <rPh sb="0" eb="2">
      <t>ケンリ</t>
    </rPh>
    <rPh sb="3" eb="5">
      <t>シュトク</t>
    </rPh>
    <phoneticPr fontId="12"/>
  </si>
  <si>
    <t>大字</t>
    <rPh sb="0" eb="2">
      <t>オオアザ</t>
    </rPh>
    <phoneticPr fontId="12"/>
  </si>
  <si>
    <t>小字</t>
    <rPh sb="0" eb="2">
      <t>コアザ</t>
    </rPh>
    <phoneticPr fontId="12"/>
  </si>
  <si>
    <t>番地</t>
    <rPh sb="0" eb="2">
      <t>バンチ</t>
    </rPh>
    <phoneticPr fontId="12"/>
  </si>
  <si>
    <t>基盤強化法による利用権設定（賃貸借）</t>
    <rPh sb="0" eb="2">
      <t>キバン</t>
    </rPh>
    <rPh sb="2" eb="4">
      <t>キョウカ</t>
    </rPh>
    <rPh sb="4" eb="5">
      <t>ホウ</t>
    </rPh>
    <rPh sb="8" eb="11">
      <t>リヨウケン</t>
    </rPh>
    <rPh sb="11" eb="13">
      <t>セッテイ</t>
    </rPh>
    <rPh sb="14" eb="16">
      <t>チンタイ</t>
    </rPh>
    <rPh sb="16" eb="17">
      <t>カ</t>
    </rPh>
    <phoneticPr fontId="12"/>
  </si>
  <si>
    <t>（２）配置図</t>
    <rPh sb="3" eb="6">
      <t>ハイチズ</t>
    </rPh>
    <phoneticPr fontId="12"/>
  </si>
  <si>
    <t>別紙参照</t>
    <rPh sb="0" eb="2">
      <t>ベッシ</t>
    </rPh>
    <rPh sb="2" eb="4">
      <t>サンショウ</t>
    </rPh>
    <phoneticPr fontId="11"/>
  </si>
  <si>
    <t>（４）農振法上の用途区分</t>
    <rPh sb="3" eb="4">
      <t>ノウ</t>
    </rPh>
    <rPh sb="4" eb="5">
      <t>オサム</t>
    </rPh>
    <rPh sb="5" eb="6">
      <t>ホウ</t>
    </rPh>
    <rPh sb="6" eb="7">
      <t>ジョウ</t>
    </rPh>
    <rPh sb="8" eb="10">
      <t>ヨウト</t>
    </rPh>
    <rPh sb="10" eb="12">
      <t>クブン</t>
    </rPh>
    <phoneticPr fontId="12"/>
  </si>
  <si>
    <t>農振農用地</t>
    <rPh sb="0" eb="1">
      <t>ノウ</t>
    </rPh>
    <rPh sb="1" eb="2">
      <t>シン</t>
    </rPh>
    <rPh sb="2" eb="5">
      <t>ノウヨウチ</t>
    </rPh>
    <phoneticPr fontId="12"/>
  </si>
  <si>
    <t>（１）平面図</t>
    <rPh sb="3" eb="6">
      <t>ヘイメンズ</t>
    </rPh>
    <phoneticPr fontId="12"/>
  </si>
  <si>
    <t>施　設　等　整　備</t>
    <rPh sb="0" eb="1">
      <t>シ</t>
    </rPh>
    <rPh sb="2" eb="3">
      <t>セツ</t>
    </rPh>
    <rPh sb="4" eb="5">
      <t>トウ</t>
    </rPh>
    <rPh sb="6" eb="7">
      <t>タダシ</t>
    </rPh>
    <rPh sb="8" eb="9">
      <t>ソナエ</t>
    </rPh>
    <phoneticPr fontId="11"/>
  </si>
  <si>
    <t>強化型パイプハウス</t>
    <rPh sb="0" eb="2">
      <t>キョウカ</t>
    </rPh>
    <rPh sb="2" eb="3">
      <t>ガタ</t>
    </rPh>
    <phoneticPr fontId="11"/>
  </si>
  <si>
    <t>○○地区</t>
    <rPh sb="2" eb="4">
      <t>チク</t>
    </rPh>
    <phoneticPr fontId="11"/>
  </si>
  <si>
    <t>(施設名)</t>
    <rPh sb="1" eb="4">
      <t>シセツメイ</t>
    </rPh>
    <phoneticPr fontId="11"/>
  </si>
  <si>
    <t>（型）</t>
    <rPh sb="1" eb="2">
      <t>カタ</t>
    </rPh>
    <phoneticPr fontId="11"/>
  </si>
  <si>
    <t>○○農業組合</t>
    <rPh sb="2" eb="4">
      <t>ノウギョウ</t>
    </rPh>
    <rPh sb="4" eb="6">
      <t>クミアイ</t>
    </rPh>
    <phoneticPr fontId="11"/>
  </si>
  <si>
    <t>※目標単収　10a＝9,500kg</t>
    <rPh sb="1" eb="3">
      <t>モクヒョウ</t>
    </rPh>
    <rPh sb="3" eb="4">
      <t>タン</t>
    </rPh>
    <rPh sb="4" eb="5">
      <t>オサム</t>
    </rPh>
    <phoneticPr fontId="11"/>
  </si>
  <si>
    <t>４．施設位置図</t>
    <rPh sb="2" eb="4">
      <t>シセツ</t>
    </rPh>
    <rPh sb="4" eb="7">
      <t>イチズ</t>
    </rPh>
    <phoneticPr fontId="11"/>
  </si>
  <si>
    <t>５．施設配置図</t>
    <rPh sb="2" eb="4">
      <t>シセツ</t>
    </rPh>
    <rPh sb="4" eb="7">
      <t>ハイチズ</t>
    </rPh>
    <phoneticPr fontId="11"/>
  </si>
  <si>
    <t>６．概要図</t>
    <rPh sb="2" eb="4">
      <t>ガイヨウ</t>
    </rPh>
    <rPh sb="4" eb="5">
      <t>ズ</t>
    </rPh>
    <phoneticPr fontId="12"/>
  </si>
  <si>
    <t>１．ピーマン過去5ヵ年実績</t>
    <rPh sb="6" eb="8">
      <t>カコ</t>
    </rPh>
    <rPh sb="10" eb="11">
      <t>ネン</t>
    </rPh>
    <rPh sb="11" eb="13">
      <t>ジッセキ</t>
    </rPh>
    <phoneticPr fontId="12"/>
  </si>
  <si>
    <t>３．目標単収</t>
    <rPh sb="2" eb="4">
      <t>モクヒョウ</t>
    </rPh>
    <rPh sb="4" eb="5">
      <t>タン</t>
    </rPh>
    <rPh sb="5" eb="6">
      <t>オサム</t>
    </rPh>
    <phoneticPr fontId="12"/>
  </si>
  <si>
    <t>《単収根拠》</t>
    <rPh sb="1" eb="2">
      <t>タン</t>
    </rPh>
    <rPh sb="3" eb="5">
      <t>コンキョ</t>
    </rPh>
    <phoneticPr fontId="12"/>
  </si>
  <si>
    <t>単収</t>
    <rPh sb="0" eb="1">
      <t>タン</t>
    </rPh>
    <rPh sb="1" eb="2">
      <t>オサム</t>
    </rPh>
    <phoneticPr fontId="12"/>
  </si>
  <si>
    <t>目標単収は、ピーマン優良農家の9,500kg/10aを設定する。</t>
    <rPh sb="0" eb="2">
      <t>モクヒョウ</t>
    </rPh>
    <rPh sb="2" eb="3">
      <t>タン</t>
    </rPh>
    <rPh sb="3" eb="4">
      <t>オサム</t>
    </rPh>
    <rPh sb="10" eb="12">
      <t>ユウリョウ</t>
    </rPh>
    <rPh sb="12" eb="14">
      <t>ノウカ</t>
    </rPh>
    <rPh sb="27" eb="29">
      <t>セッテイ</t>
    </rPh>
    <phoneticPr fontId="12"/>
  </si>
  <si>
    <t>目標単価は、ピーマン優良農家の277円/kgを設定する。</t>
    <rPh sb="0" eb="2">
      <t>モクヒョウ</t>
    </rPh>
    <rPh sb="2" eb="4">
      <t>タンカ</t>
    </rPh>
    <rPh sb="10" eb="12">
      <t>ユウリョウ</t>
    </rPh>
    <rPh sb="12" eb="14">
      <t>ノウカ</t>
    </rPh>
    <rPh sb="18" eb="19">
      <t>エン</t>
    </rPh>
    <rPh sb="23" eb="25">
      <t>セッテイ</t>
    </rPh>
    <phoneticPr fontId="12"/>
  </si>
  <si>
    <t>○○支店実績参照</t>
    <rPh sb="2" eb="4">
      <t>シテン</t>
    </rPh>
    <phoneticPr fontId="12"/>
  </si>
  <si>
    <t>○○農業組合単価参照</t>
    <rPh sb="2" eb="4">
      <t>ノウギョウ</t>
    </rPh>
    <rPh sb="4" eb="6">
      <t>クミアイ</t>
    </rPh>
    <rPh sb="6" eb="8">
      <t>タンカ</t>
    </rPh>
    <rPh sb="8" eb="10">
      <t>サンショウ</t>
    </rPh>
    <phoneticPr fontId="12"/>
  </si>
  <si>
    <t>単価（税抜）</t>
    <rPh sb="0" eb="2">
      <t>タンカ</t>
    </rPh>
    <rPh sb="3" eb="4">
      <t>ゼイ</t>
    </rPh>
    <rPh sb="4" eb="5">
      <t>ヌ</t>
    </rPh>
    <phoneticPr fontId="12"/>
  </si>
  <si>
    <t>単価(税込)</t>
    <rPh sb="0" eb="2">
      <t>タンカ</t>
    </rPh>
    <rPh sb="3" eb="5">
      <t>ゼイコミ</t>
    </rPh>
    <phoneticPr fontId="12"/>
  </si>
  <si>
    <t>目標単収より</t>
    <rPh sb="0" eb="2">
      <t>モクヒョウ</t>
    </rPh>
    <rPh sb="2" eb="3">
      <t>タン</t>
    </rPh>
    <rPh sb="3" eb="4">
      <t>オサム</t>
    </rPh>
    <phoneticPr fontId="12"/>
  </si>
  <si>
    <t>生産期間率＝生産期間（月数）÷12月、生産期間12ヶ月÷12ヶ月＝１　年利は、現在の○○利子平均の2%とした。</t>
    <rPh sb="0" eb="2">
      <t>セイサン</t>
    </rPh>
    <rPh sb="2" eb="4">
      <t>キカン</t>
    </rPh>
    <rPh sb="4" eb="5">
      <t>リツ</t>
    </rPh>
    <rPh sb="6" eb="8">
      <t>セイサン</t>
    </rPh>
    <rPh sb="8" eb="10">
      <t>キカン</t>
    </rPh>
    <rPh sb="11" eb="13">
      <t>ツキスウ</t>
    </rPh>
    <rPh sb="17" eb="18">
      <t>ガツ</t>
    </rPh>
    <rPh sb="19" eb="21">
      <t>セイサン</t>
    </rPh>
    <rPh sb="21" eb="23">
      <t>キカン</t>
    </rPh>
    <rPh sb="26" eb="27">
      <t>ゲツ</t>
    </rPh>
    <rPh sb="31" eb="32">
      <t>ゲツ</t>
    </rPh>
    <rPh sb="35" eb="37">
      <t>ネンリ</t>
    </rPh>
    <rPh sb="39" eb="41">
      <t>ゲンザイ</t>
    </rPh>
    <rPh sb="44" eb="46">
      <t>リシ</t>
    </rPh>
    <rPh sb="46" eb="48">
      <t>ヘイキン</t>
    </rPh>
    <phoneticPr fontId="11"/>
  </si>
  <si>
    <t>リース事業なので、固定資本評価は、０になる</t>
    <rPh sb="3" eb="5">
      <t>ジギョウ</t>
    </rPh>
    <rPh sb="9" eb="11">
      <t>コテイ</t>
    </rPh>
    <rPh sb="11" eb="13">
      <t>シホン</t>
    </rPh>
    <rPh sb="13" eb="15">
      <t>ヒョウカ</t>
    </rPh>
    <phoneticPr fontId="11"/>
  </si>
  <si>
    <t>事業名：</t>
    <rPh sb="0" eb="2">
      <t>ジギョウ</t>
    </rPh>
    <rPh sb="2" eb="3">
      <t>メイ</t>
    </rPh>
    <phoneticPr fontId="12"/>
  </si>
  <si>
    <t>○○農業組合</t>
    <rPh sb="2" eb="4">
      <t>ノウギョウ</t>
    </rPh>
    <rPh sb="4" eb="6">
      <t>クミアイ</t>
    </rPh>
    <phoneticPr fontId="12"/>
  </si>
  <si>
    <t>※6.○○負担本体額</t>
    <rPh sb="5" eb="7">
      <t>フタン</t>
    </rPh>
    <rPh sb="7" eb="9">
      <t>ホンタイ</t>
    </rPh>
    <rPh sb="9" eb="10">
      <t>ガク</t>
    </rPh>
    <phoneticPr fontId="12"/>
  </si>
  <si>
    <t>６．○○負担本体額</t>
    <rPh sb="4" eb="6">
      <t>フタン</t>
    </rPh>
    <rPh sb="6" eb="8">
      <t>ホンタイ</t>
    </rPh>
    <rPh sb="8" eb="9">
      <t>ガク</t>
    </rPh>
    <phoneticPr fontId="12"/>
  </si>
  <si>
    <t>７．○○自己負担総額</t>
    <rPh sb="4" eb="6">
      <t>ジコ</t>
    </rPh>
    <rPh sb="6" eb="8">
      <t>フタン</t>
    </rPh>
    <rPh sb="8" eb="10">
      <t>ソウガク</t>
    </rPh>
    <phoneticPr fontId="12"/>
  </si>
  <si>
    <t>：</t>
    <phoneticPr fontId="11"/>
  </si>
  <si>
    <t>：</t>
    <phoneticPr fontId="11"/>
  </si>
  <si>
    <t>現　　　況　　　及　　　び　　　事　　　業　　　計　　　画　　　の　　　概　　　要　　</t>
    <phoneticPr fontId="11"/>
  </si>
  <si>
    <t>○○</t>
    <phoneticPr fontId="11"/>
  </si>
  <si>
    <t xml:space="preserve">項　　目 </t>
    <phoneticPr fontId="11"/>
  </si>
  <si>
    <t>住　　　所</t>
    <phoneticPr fontId="11"/>
  </si>
  <si>
    <t>備　　　　考</t>
    <phoneticPr fontId="11"/>
  </si>
  <si>
    <t xml:space="preserve"> 氏　　名</t>
    <phoneticPr fontId="11"/>
  </si>
  <si>
    <t>きび</t>
    <phoneticPr fontId="11"/>
  </si>
  <si>
    <t>Ａ</t>
    <phoneticPr fontId="12"/>
  </si>
  <si>
    <t>　</t>
    <phoneticPr fontId="11"/>
  </si>
  <si>
    <t xml:space="preserve"> </t>
    <phoneticPr fontId="11"/>
  </si>
  <si>
    <t>(1) 事業の目的</t>
    <phoneticPr fontId="11"/>
  </si>
  <si>
    <t>　　</t>
    <phoneticPr fontId="11"/>
  </si>
  <si>
    <t>(2) 事業計画概要</t>
    <phoneticPr fontId="11"/>
  </si>
  <si>
    <t>事　業　内　容</t>
    <phoneticPr fontId="11"/>
  </si>
  <si>
    <t>事　業　主　体</t>
    <phoneticPr fontId="11"/>
  </si>
  <si>
    <t>受　益　戸　数</t>
    <phoneticPr fontId="11"/>
  </si>
  <si>
    <t>事　　業　　費</t>
    <phoneticPr fontId="11"/>
  </si>
  <si>
    <t>(3) 事業費の積算基礎</t>
    <phoneticPr fontId="11"/>
  </si>
  <si>
    <t>工種又は設置区分</t>
    <phoneticPr fontId="11"/>
  </si>
  <si>
    <t>規格・構造</t>
    <phoneticPr fontId="11"/>
  </si>
  <si>
    <t>耐用年数</t>
    <phoneticPr fontId="11"/>
  </si>
  <si>
    <t>アーチパイプ</t>
    <phoneticPr fontId="11"/>
  </si>
  <si>
    <t xml:space="preserve"> </t>
    <phoneticPr fontId="11"/>
  </si>
  <si>
    <t>合　　　　計</t>
    <phoneticPr fontId="11"/>
  </si>
  <si>
    <t>ピーマン</t>
    <phoneticPr fontId="11"/>
  </si>
  <si>
    <t>　</t>
    <phoneticPr fontId="11"/>
  </si>
  <si>
    <t>△</t>
    <phoneticPr fontId="11"/>
  </si>
  <si>
    <t>○</t>
    <phoneticPr fontId="11"/>
  </si>
  <si>
    <t>　</t>
    <phoneticPr fontId="11"/>
  </si>
  <si>
    <t>　　　　</t>
    <phoneticPr fontId="11"/>
  </si>
  <si>
    <t>4=2-3</t>
    <phoneticPr fontId="12"/>
  </si>
  <si>
    <t>6=4-5</t>
    <phoneticPr fontId="12"/>
  </si>
  <si>
    <t>7=3+6</t>
    <phoneticPr fontId="12"/>
  </si>
  <si>
    <t>㎡</t>
    <phoneticPr fontId="12"/>
  </si>
  <si>
    <t>Ａ</t>
    <phoneticPr fontId="12"/>
  </si>
  <si>
    <t>=①+②</t>
    <phoneticPr fontId="12"/>
  </si>
  <si>
    <t>ﾋﾟｰﾏﾝ</t>
    <phoneticPr fontId="11"/>
  </si>
  <si>
    <t>⑥＝②＋④＋⑤</t>
    <phoneticPr fontId="11"/>
  </si>
  <si>
    <t>○</t>
    <phoneticPr fontId="11"/>
  </si>
  <si>
    <t>○</t>
    <phoneticPr fontId="11"/>
  </si>
  <si>
    <t>※</t>
    <phoneticPr fontId="11"/>
  </si>
  <si>
    <t>※</t>
    <phoneticPr fontId="11"/>
  </si>
  <si>
    <t>※</t>
    <phoneticPr fontId="11"/>
  </si>
  <si>
    <t>※</t>
    <phoneticPr fontId="11"/>
  </si>
  <si>
    <t>ちぐさ</t>
    <phoneticPr fontId="12"/>
  </si>
  <si>
    <t>/</t>
    <phoneticPr fontId="12"/>
  </si>
  <si>
    <t>×</t>
    <phoneticPr fontId="12"/>
  </si>
  <si>
    <t>×</t>
    <phoneticPr fontId="12"/>
  </si>
  <si>
    <t>＝</t>
    <phoneticPr fontId="12"/>
  </si>
  <si>
    <t>：</t>
    <phoneticPr fontId="12"/>
  </si>
  <si>
    <t>：</t>
    <phoneticPr fontId="12"/>
  </si>
  <si>
    <t>×</t>
    <phoneticPr fontId="12"/>
  </si>
  <si>
    <t>＝</t>
    <phoneticPr fontId="12"/>
  </si>
  <si>
    <t>/</t>
    <phoneticPr fontId="12"/>
  </si>
  <si>
    <t>×</t>
    <phoneticPr fontId="12"/>
  </si>
  <si>
    <t>＝</t>
    <phoneticPr fontId="12"/>
  </si>
  <si>
    <t>ユーナイン</t>
    <phoneticPr fontId="12"/>
  </si>
  <si>
    <t>/</t>
    <phoneticPr fontId="12"/>
  </si>
  <si>
    <t>×</t>
    <phoneticPr fontId="12"/>
  </si>
  <si>
    <t>＝</t>
    <phoneticPr fontId="12"/>
  </si>
  <si>
    <t>=</t>
    <phoneticPr fontId="12"/>
  </si>
  <si>
    <t>L</t>
    <phoneticPr fontId="12"/>
  </si>
  <si>
    <t>/</t>
    <phoneticPr fontId="12"/>
  </si>
  <si>
    <t>㎡</t>
    <phoneticPr fontId="12"/>
  </si>
  <si>
    <t>×</t>
    <phoneticPr fontId="12"/>
  </si>
  <si>
    <t>＝</t>
    <phoneticPr fontId="12"/>
  </si>
  <si>
    <t>/</t>
    <phoneticPr fontId="12"/>
  </si>
  <si>
    <t>×</t>
    <phoneticPr fontId="12"/>
  </si>
  <si>
    <t>＝</t>
    <phoneticPr fontId="12"/>
  </si>
  <si>
    <t>ｼﾙﾊﾞｰﾏﾙﾁ</t>
    <phoneticPr fontId="12"/>
  </si>
  <si>
    <t>㎡</t>
    <phoneticPr fontId="12"/>
  </si>
  <si>
    <t>×</t>
    <phoneticPr fontId="12"/>
  </si>
  <si>
    <t>＝</t>
    <phoneticPr fontId="12"/>
  </si>
  <si>
    <t>÷</t>
    <phoneticPr fontId="12"/>
  </si>
  <si>
    <t>＝</t>
    <phoneticPr fontId="12"/>
  </si>
  <si>
    <t>÷</t>
    <phoneticPr fontId="12"/>
  </si>
  <si>
    <t>/</t>
    <phoneticPr fontId="12"/>
  </si>
  <si>
    <t>×</t>
    <phoneticPr fontId="12"/>
  </si>
  <si>
    <t>＝</t>
    <phoneticPr fontId="12"/>
  </si>
  <si>
    <t>/</t>
    <phoneticPr fontId="12"/>
  </si>
  <si>
    <t>ピーマン</t>
    <phoneticPr fontId="14"/>
  </si>
  <si>
    <t>ピッチ</t>
    <phoneticPr fontId="14"/>
  </si>
  <si>
    <t>ピーマン積算資料　表－1参照</t>
    <phoneticPr fontId="14"/>
  </si>
  <si>
    <t>ピーマン積算資料　表－5参照</t>
    <phoneticPr fontId="14"/>
  </si>
  <si>
    <t>ケタ</t>
    <phoneticPr fontId="14"/>
  </si>
  <si>
    <t>ピーマン積算資料　表－7参照</t>
    <phoneticPr fontId="14"/>
  </si>
  <si>
    <t>ピーマン積算資料　表－8参照</t>
    <phoneticPr fontId="14"/>
  </si>
  <si>
    <t>ピーマン</t>
    <phoneticPr fontId="11"/>
  </si>
  <si>
    <t>×</t>
    <phoneticPr fontId="11"/>
  </si>
  <si>
    <t>＝</t>
    <phoneticPr fontId="11"/>
  </si>
  <si>
    <t>×</t>
    <phoneticPr fontId="11"/>
  </si>
  <si>
    <t>①-1</t>
    <phoneticPr fontId="12"/>
  </si>
  <si>
    <t>A</t>
    <phoneticPr fontId="12"/>
  </si>
  <si>
    <t>①-2</t>
    <phoneticPr fontId="12"/>
  </si>
  <si>
    <t>①-3</t>
    <phoneticPr fontId="12"/>
  </si>
  <si>
    <t>B</t>
    <phoneticPr fontId="11"/>
  </si>
  <si>
    <t>①-4</t>
    <phoneticPr fontId="12"/>
  </si>
  <si>
    <t>①-5</t>
    <phoneticPr fontId="12"/>
  </si>
  <si>
    <t>C</t>
    <phoneticPr fontId="11"/>
  </si>
  <si>
    <t>①-6</t>
    <phoneticPr fontId="12"/>
  </si>
  <si>
    <t>D</t>
    <phoneticPr fontId="11"/>
  </si>
  <si>
    <t>（１）主要作物の生産状況（現況）</t>
    <phoneticPr fontId="11"/>
  </si>
  <si>
    <t>ピーマン</t>
    <phoneticPr fontId="11"/>
  </si>
  <si>
    <t>インゲン</t>
    <phoneticPr fontId="11"/>
  </si>
  <si>
    <t>ゴーヤー</t>
    <phoneticPr fontId="11"/>
  </si>
  <si>
    <t>サトウキビ</t>
    <phoneticPr fontId="11"/>
  </si>
  <si>
    <t>ピーマン</t>
    <phoneticPr fontId="11"/>
  </si>
  <si>
    <t>ピーマン</t>
    <phoneticPr fontId="11"/>
  </si>
  <si>
    <t>サトウキビ</t>
    <phoneticPr fontId="11"/>
  </si>
  <si>
    <t>（単位：ａ、ｔ）</t>
    <phoneticPr fontId="11"/>
  </si>
  <si>
    <t xml:space="preserve">年　度 </t>
    <phoneticPr fontId="11"/>
  </si>
  <si>
    <t xml:space="preserve"> 品　目</t>
    <phoneticPr fontId="11"/>
  </si>
  <si>
    <t>面　積</t>
    <phoneticPr fontId="11"/>
  </si>
  <si>
    <t>ピーマン</t>
    <phoneticPr fontId="11"/>
  </si>
  <si>
    <t>→</t>
    <phoneticPr fontId="11"/>
  </si>
  <si>
    <t>(1) 経営状況</t>
    <phoneticPr fontId="11"/>
  </si>
  <si>
    <t>Ｂ</t>
    <phoneticPr fontId="12"/>
  </si>
  <si>
    <t>Ｃ</t>
    <phoneticPr fontId="12"/>
  </si>
  <si>
    <t>Ｄ</t>
    <phoneticPr fontId="12"/>
  </si>
  <si>
    <t>Ｅ</t>
    <phoneticPr fontId="12"/>
  </si>
  <si>
    <t>Ｆ</t>
    <phoneticPr fontId="12"/>
  </si>
  <si>
    <t>３．生産計画</t>
    <rPh sb="2" eb="4">
      <t>セイサン</t>
    </rPh>
    <rPh sb="4" eb="6">
      <t>ケイカク</t>
    </rPh>
    <phoneticPr fontId="11"/>
  </si>
  <si>
    <t>７．収支計画</t>
    <rPh sb="2" eb="4">
      <t>シュウシ</t>
    </rPh>
    <rPh sb="4" eb="6">
      <t>ケイカク</t>
    </rPh>
    <phoneticPr fontId="11"/>
  </si>
  <si>
    <t>（４）　本事業による生産計画</t>
    <phoneticPr fontId="11"/>
  </si>
  <si>
    <t>（５）　作付体系</t>
    <phoneticPr fontId="11"/>
  </si>
  <si>
    <t>（６）　生産物の出荷体制</t>
    <phoneticPr fontId="11"/>
  </si>
  <si>
    <t>（７）　施設管理運営計画</t>
    <rPh sb="4" eb="5">
      <t>シ</t>
    </rPh>
    <rPh sb="5" eb="6">
      <t>セツ</t>
    </rPh>
    <rPh sb="6" eb="7">
      <t>カン</t>
    </rPh>
    <rPh sb="7" eb="8">
      <t>リ</t>
    </rPh>
    <rPh sb="8" eb="9">
      <t>ウン</t>
    </rPh>
    <rPh sb="9" eb="10">
      <t>エイ</t>
    </rPh>
    <rPh sb="10" eb="11">
      <t>ケイ</t>
    </rPh>
    <rPh sb="11" eb="12">
      <t>ガ</t>
    </rPh>
    <phoneticPr fontId="11"/>
  </si>
  <si>
    <t>事業実施主体</t>
    <rPh sb="0" eb="2">
      <t>ジギョウ</t>
    </rPh>
    <rPh sb="2" eb="4">
      <t>ジッシ</t>
    </rPh>
    <rPh sb="4" eb="6">
      <t>シュタイ</t>
    </rPh>
    <phoneticPr fontId="11"/>
  </si>
  <si>
    <t>施設利用主体</t>
    <rPh sb="0" eb="2">
      <t>シセツ</t>
    </rPh>
    <rPh sb="2" eb="4">
      <t>リヨウ</t>
    </rPh>
    <rPh sb="4" eb="6">
      <t>シュタイ</t>
    </rPh>
    <phoneticPr fontId="11"/>
  </si>
  <si>
    <t>○○市町村</t>
    <rPh sb="2" eb="5">
      <t>シチョウソン</t>
    </rPh>
    <phoneticPr fontId="11"/>
  </si>
  <si>
    <t>○○生産組合</t>
    <rPh sb="2" eb="4">
      <t>セイサン</t>
    </rPh>
    <rPh sb="4" eb="6">
      <t>クミアイ</t>
    </rPh>
    <phoneticPr fontId="12"/>
  </si>
  <si>
    <t>地区名、
利用主体名</t>
    <rPh sb="0" eb="3">
      <t>チクメイ</t>
    </rPh>
    <rPh sb="5" eb="7">
      <t>リヨウ</t>
    </rPh>
    <rPh sb="7" eb="9">
      <t>シュタイ</t>
    </rPh>
    <rPh sb="9" eb="10">
      <t>メイ</t>
    </rPh>
    <phoneticPr fontId="12"/>
  </si>
  <si>
    <t>○○○生産組合</t>
    <rPh sb="3" eb="5">
      <t>セイサン</t>
    </rPh>
    <rPh sb="5" eb="7">
      <t>クミアイ</t>
    </rPh>
    <phoneticPr fontId="11"/>
  </si>
  <si>
    <t>利　用　主　体</t>
    <rPh sb="0" eb="1">
      <t>リ</t>
    </rPh>
    <rPh sb="2" eb="3">
      <t>ヨウ</t>
    </rPh>
    <phoneticPr fontId="11"/>
  </si>
  <si>
    <t>別紙参照 P○○</t>
    <rPh sb="0" eb="2">
      <t>ベッシ</t>
    </rPh>
    <rPh sb="2" eb="4">
      <t>サンショウ</t>
    </rPh>
    <phoneticPr fontId="11"/>
  </si>
  <si>
    <t>自作地</t>
    <rPh sb="0" eb="3">
      <t>ジサクチ</t>
    </rPh>
    <phoneticPr fontId="11"/>
  </si>
  <si>
    <t>①-1 P○○　①-2 P○○　①-3 P○○　①-4 P○○　①-5 P○○　①-6 P○○</t>
    <phoneticPr fontId="12"/>
  </si>
  <si>
    <t>（２）立面図・妻面図　　　　　　　　　</t>
    <rPh sb="3" eb="6">
      <t>リツメンズ</t>
    </rPh>
    <rPh sb="7" eb="8">
      <t>ツマ</t>
    </rPh>
    <rPh sb="8" eb="9">
      <t>メン</t>
    </rPh>
    <rPh sb="9" eb="10">
      <t>ズ</t>
    </rPh>
    <phoneticPr fontId="11"/>
  </si>
  <si>
    <t>=③*8/105</t>
    <phoneticPr fontId="12"/>
  </si>
  <si>
    <t>3=2*8/105</t>
    <phoneticPr fontId="12"/>
  </si>
  <si>
    <t>（受益者）</t>
    <rPh sb="1" eb="3">
      <t>ジュエキ</t>
    </rPh>
    <rPh sb="3" eb="4">
      <t>シャ</t>
    </rPh>
    <phoneticPr fontId="11"/>
  </si>
  <si>
    <t>施設利用主体別実施計画</t>
    <rPh sb="0" eb="2">
      <t>シセツ</t>
    </rPh>
    <rPh sb="2" eb="4">
      <t>リヨウ</t>
    </rPh>
    <rPh sb="4" eb="6">
      <t>シュタイ</t>
    </rPh>
    <rPh sb="6" eb="7">
      <t>ベツ</t>
    </rPh>
    <rPh sb="7" eb="9">
      <t>ジッシ</t>
    </rPh>
    <rPh sb="9" eb="11">
      <t>ケイカク</t>
    </rPh>
    <phoneticPr fontId="11"/>
  </si>
  <si>
    <t>沖　縄　型　耐　候　性　園　芸　施　設　整　備　事　業</t>
    <rPh sb="0" eb="1">
      <t>オキ</t>
    </rPh>
    <rPh sb="2" eb="3">
      <t>ナワ</t>
    </rPh>
    <rPh sb="4" eb="5">
      <t>カタ</t>
    </rPh>
    <rPh sb="6" eb="7">
      <t>タイ</t>
    </rPh>
    <rPh sb="8" eb="9">
      <t>コウ</t>
    </rPh>
    <rPh sb="10" eb="11">
      <t>セイ</t>
    </rPh>
    <rPh sb="12" eb="13">
      <t>エン</t>
    </rPh>
    <rPh sb="14" eb="15">
      <t>ゲイ</t>
    </rPh>
    <rPh sb="16" eb="17">
      <t>シ</t>
    </rPh>
    <rPh sb="18" eb="19">
      <t>セツ</t>
    </rPh>
    <rPh sb="20" eb="21">
      <t>ヒトシ</t>
    </rPh>
    <rPh sb="22" eb="23">
      <t>ビ</t>
    </rPh>
    <rPh sb="24" eb="25">
      <t>コト</t>
    </rPh>
    <rPh sb="26" eb="27">
      <t>ギョウ</t>
    </rPh>
    <phoneticPr fontId="11"/>
  </si>
  <si>
    <t>平成29年度</t>
    <rPh sb="0" eb="2">
      <t>ヘイセイ</t>
    </rPh>
    <rPh sb="4" eb="6">
      <t>ネンド</t>
    </rPh>
    <phoneticPr fontId="12"/>
  </si>
  <si>
    <t>平成30年度</t>
    <rPh sb="0" eb="2">
      <t>ヘイセイ</t>
    </rPh>
    <rPh sb="4" eb="6">
      <t>ネンド</t>
    </rPh>
    <phoneticPr fontId="12"/>
  </si>
  <si>
    <t>令和元年度</t>
    <rPh sb="0" eb="2">
      <t>レイワ</t>
    </rPh>
    <rPh sb="2" eb="4">
      <t>ガンネン</t>
    </rPh>
    <rPh sb="4" eb="5">
      <t>ド</t>
    </rPh>
    <phoneticPr fontId="12"/>
  </si>
  <si>
    <t>令和2年度</t>
    <rPh sb="0" eb="2">
      <t>レイワ</t>
    </rPh>
    <rPh sb="3" eb="5">
      <t>ネンド</t>
    </rPh>
    <rPh sb="4" eb="5">
      <t>ド</t>
    </rPh>
    <phoneticPr fontId="12"/>
  </si>
  <si>
    <t>令和3年度</t>
    <rPh sb="0" eb="2">
      <t>レイワ</t>
    </rPh>
    <rPh sb="3" eb="5">
      <t>ネンド</t>
    </rPh>
    <rPh sb="4" eb="5">
      <t>ド</t>
    </rPh>
    <phoneticPr fontId="12"/>
  </si>
  <si>
    <r>
      <t>運用金利は長期ﾌﾟﾗｲﾑﾚｰﾄ</t>
    </r>
    <r>
      <rPr>
        <sz val="11"/>
        <color indexed="10"/>
        <rFont val="ＭＳ Ｐゴシック"/>
        <family val="3"/>
        <charset val="128"/>
      </rPr>
      <t>R</t>
    </r>
    <r>
      <rPr>
        <sz val="11"/>
        <rFont val="ＭＳ Ｐゴシック"/>
        <family val="3"/>
        <charset val="128"/>
      </rPr>
      <t>○○年○○月現在</t>
    </r>
    <rPh sb="0" eb="2">
      <t>ウンヨウ</t>
    </rPh>
    <rPh sb="2" eb="4">
      <t>キンリ</t>
    </rPh>
    <rPh sb="5" eb="7">
      <t>チョウキ</t>
    </rPh>
    <rPh sb="18" eb="19">
      <t>ネン</t>
    </rPh>
    <rPh sb="21" eb="22">
      <t>ツキ</t>
    </rPh>
    <rPh sb="22" eb="24">
      <t>ゲンザイ</t>
    </rPh>
    <phoneticPr fontId="12"/>
  </si>
  <si>
    <t>令和2年度</t>
    <rPh sb="0" eb="2">
      <t>レイワ</t>
    </rPh>
    <phoneticPr fontId="12"/>
  </si>
  <si>
    <t>令和3年度</t>
    <rPh sb="0" eb="2">
      <t>レイワ</t>
    </rPh>
    <phoneticPr fontId="12"/>
  </si>
  <si>
    <t>令和○年度</t>
    <rPh sb="0" eb="2">
      <t>レイワ</t>
    </rPh>
    <rPh sb="3" eb="5">
      <t>ネンド</t>
    </rPh>
    <phoneticPr fontId="11"/>
  </si>
  <si>
    <t>施設リース事業に係わる利用料算定表（例）</t>
    <rPh sb="0" eb="2">
      <t>シセツ</t>
    </rPh>
    <rPh sb="5" eb="7">
      <t>ジギョウ</t>
    </rPh>
    <rPh sb="8" eb="9">
      <t>カカ</t>
    </rPh>
    <rPh sb="11" eb="14">
      <t>リヨウリョウ</t>
    </rPh>
    <rPh sb="14" eb="16">
      <t>サンテイ</t>
    </rPh>
    <rPh sb="16" eb="17">
      <t>ヒョウ</t>
    </rPh>
    <rPh sb="18" eb="19">
      <t>レイ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</si>
</sst>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8">
    <numFmt numFmtId="42" formatCode="_ &quot;¥&quot;* #,##0_ ;_ &quot;¥&quot;* \-#,##0_ ;_ &quot;¥&quot;* &quot;-&quot;_ ;_ @_ "/>
    <numFmt numFmtId="41" formatCode="_ * #,##0_ ;_ * \-#,##0_ ;_ * &quot;-&quot;_ ;_ @_ "/>
    <numFmt numFmtId="176" formatCode="0.0"/>
    <numFmt numFmtId="177" formatCode="###,###,###\ &quot;年&quot;\ "/>
    <numFmt numFmtId="178" formatCode="###,###,###&quot;㎏&quot;"/>
    <numFmt numFmtId="179" formatCode="###,###,###&quot;円&quot;"/>
    <numFmt numFmtId="180" formatCode="###,###,###&quot;円&quot;&quot;/&quot;&quot;10a&quot;"/>
    <numFmt numFmtId="181" formatCode="###,###,###&quot;㎏&quot;&quot;/&quot;&quot;10a&quot;"/>
    <numFmt numFmtId="182" formatCode="###,###,###&quot;円&quot;&quot;/&quot;&quot;㎏&quot;"/>
    <numFmt numFmtId="183" formatCode="###,###,##0"/>
    <numFmt numFmtId="184" formatCode="###,###,###&quot;㎡&quot;"/>
    <numFmt numFmtId="185" formatCode="##,##0&quot;㎡&quot;"/>
    <numFmt numFmtId="186" formatCode="###,###,###\ &quot;円&quot;"/>
    <numFmt numFmtId="187" formatCode="#,##0&quot;戸&quot;"/>
    <numFmt numFmtId="188" formatCode="#,##0&quot;円は事業主体負担&quot;"/>
    <numFmt numFmtId="189" formatCode="&quot;平&quot;&quot;成&quot;#&quot;年&quot;&quot;度&quot;"/>
    <numFmt numFmtId="190" formatCode="#,##0_);[Red]\(#,##0\)"/>
    <numFmt numFmtId="191" formatCode="#,##0_ "/>
    <numFmt numFmtId="192" formatCode="#,##0.0_ "/>
    <numFmt numFmtId="193" formatCode="#,##0&quot;円/年&quot;"/>
    <numFmt numFmtId="194" formatCode="\&lt;\ \ ###,###,###&quot;a&quot;\ \ \&gt;"/>
    <numFmt numFmtId="195" formatCode="\&lt;\ \ ###,###,###.00&quot;a&quot;\ \ \&gt;"/>
    <numFmt numFmtId="196" formatCode="###,###,###.00&quot;a&quot;"/>
    <numFmt numFmtId="197" formatCode="#,##0&quot;kg&quot;"/>
    <numFmt numFmtId="198" formatCode="#,##0&quot;円&quot;"/>
    <numFmt numFmtId="199" formatCode="#,##0&quot;g&quot;"/>
    <numFmt numFmtId="200" formatCode="#,##0&quot;㎡&quot;"/>
    <numFmt numFmtId="201" formatCode="#,##0&quot;巻&quot;"/>
    <numFmt numFmtId="202" formatCode="#,##0&quot;枚&quot;"/>
    <numFmt numFmtId="203" formatCode="#,##0&quot;袋&quot;"/>
    <numFmt numFmtId="204" formatCode="#,##0&quot;年&quot;"/>
    <numFmt numFmtId="205" formatCode="#,##0.0;[Red]\-#,##0.0"/>
    <numFmt numFmtId="206" formatCode="#,##0.000;[Red]\-#,##0.000"/>
    <numFmt numFmtId="207" formatCode="###,###,##0&quot;台（揚水ﾎﾟﾝﾌﾟ）&quot;"/>
    <numFmt numFmtId="208" formatCode="###,###,###&quot;円/台&quot;"/>
    <numFmt numFmtId="209" formatCode="#,##0.00_ "/>
    <numFmt numFmtId="210" formatCode="#,##0;\-#,##0;&quot;-&quot;"/>
    <numFmt numFmtId="211" formatCode="#,##0\-\ "/>
    <numFmt numFmtId="212" formatCode="\{\(#,##0_ "/>
    <numFmt numFmtId="213" formatCode="\ \ &quot;×&quot;\ \ \ #,##0_ \ \ "/>
    <numFmt numFmtId="214" formatCode="\-\ \(#,##0_ "/>
    <numFmt numFmtId="215" formatCode="\+\ \ #,##0\ \ _ \+"/>
    <numFmt numFmtId="216" formatCode="#,##0\ \)\]\ \ &quot;÷&quot;\ "/>
    <numFmt numFmtId="217" formatCode="\}\ &quot;×&quot;\ #,##0_ "/>
    <numFmt numFmtId="218" formatCode="&quot;＝&quot;\ \ #,##0_ "/>
    <numFmt numFmtId="219" formatCode="\(#,##0"/>
    <numFmt numFmtId="220" formatCode="\+\ \ #,##0\)"/>
    <numFmt numFmtId="221" formatCode="&quot;÷&quot;\ \ #,##0_ "/>
    <numFmt numFmtId="222" formatCode="&quot;×&quot;\ \ \(0%"/>
    <numFmt numFmtId="223" formatCode="&quot;×&quot;\ \ \ \ #,##0\)"/>
    <numFmt numFmtId="224" formatCode="\+\ \ #,##0\ \ &quot;×&quot;_ "/>
    <numFmt numFmtId="225" formatCode="\(0%"/>
    <numFmt numFmtId="226" formatCode="&quot;＝&quot;\ #,##0_ "/>
    <numFmt numFmtId="227" formatCode="\-\ \ #,##0_ "/>
    <numFmt numFmtId="228" formatCode="\-\ \ \ #,##0\ \ \ \-\ "/>
    <numFmt numFmtId="229" formatCode="#,##0\ \ \ \ \+\ \ \ "/>
    <numFmt numFmtId="230" formatCode="#,##0\ &quot;＝&quot;_ "/>
    <numFmt numFmtId="231" formatCode="#,##0.00_ ;[Red]\-#,##0.00\ "/>
    <numFmt numFmtId="232" formatCode="#,##0.0000000_ ;[Red]\-#,##0.0000000\ "/>
    <numFmt numFmtId="233" formatCode="0.00000000_ "/>
    <numFmt numFmtId="234" formatCode="#,##0.00000000000000000000000000_ "/>
    <numFmt numFmtId="235" formatCode="0.0_);[Red]\(0.0\)"/>
    <numFmt numFmtId="236" formatCode="&quot;（内訳　掛金64,265円　国 32,132円(1/2)､県 8,033円（1/8)､自己負担 &quot;#,##0&quot;円&quot;\,\ &quot;賦&quot;&quot;課&quot;&quot;金&quot;\ \1\5\6\6\2&quot;円&quot;\)"/>
    <numFmt numFmtId="237" formatCode="#,##0&quot;㎏&quot;"/>
    <numFmt numFmtId="238" formatCode="#,##0&quot;L&quot;"/>
    <numFmt numFmtId="239" formatCode="#,##0&quot;L/月&quot;"/>
    <numFmt numFmtId="240" formatCode="&quot;内訳　　kg＝15円　　15円/kg×9,000kg＝&quot;#,##0&quot;円&quot;"/>
    <numFmt numFmtId="241" formatCode="&quot;9,000kg×9%×100円＝&quot;#,##0&quot;（出荷割合　県内 91%　　県外 9%　　県外運賃　100円）&quot;"/>
    <numFmt numFmtId="242" formatCode="&quot;内訳　　生産額×11.5%（市場 8.5%　　JA 3%）＝&quot;#,##0&quot;円&quot;"/>
    <numFmt numFmtId="243" formatCode="&quot;（内訳　掛金50,303円－国 25,151円(1/2)－県 6,288円（1/8)＋賦課金12,180円＝自己負担 &quot;#,##0&quot;円&quot;\)"/>
    <numFmt numFmtId="244" formatCode="#,##0&quot;回&quot;"/>
    <numFmt numFmtId="245" formatCode="&quot;内訳　㎡＝292円（利用料算定表参照）　　10a＝ &quot;#,##0&quot;円&quot;"/>
    <numFmt numFmtId="246" formatCode="#,##0.0\ \ &quot;㎡&quot;"/>
    <numFmt numFmtId="247" formatCode="#,##0\ \ &quot;㎡&quot;"/>
    <numFmt numFmtId="248" formatCode="#,###&quot;㎡&quot;"/>
    <numFmt numFmtId="249" formatCode="#,###.0&quot;㎡&quot;"/>
    <numFmt numFmtId="250" formatCode="#,##0.0_);[Red]\(#,##0.0\)"/>
    <numFmt numFmtId="251" formatCode="&quot;令&quot;&quot;和&quot;#&quot;年&quot;&quot;度&quot;"/>
  </numFmts>
  <fonts count="36" x14ac:knownFonts="1">
    <font>
      <sz val="11"/>
      <name val="ＭＳ Ｐ明朝"/>
      <family val="1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6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sz val="22"/>
      <name val="ＭＳ Ｐゴシック"/>
      <family val="3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5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8">
    <xf numFmtId="0" fontId="0" fillId="0" borderId="0"/>
    <xf numFmtId="210" fontId="1" fillId="0" borderId="0" applyFill="0" applyBorder="0" applyAlignment="0"/>
    <xf numFmtId="0" fontId="2" fillId="0" borderId="0">
      <alignment horizontal="left"/>
    </xf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0" fontId="4" fillId="0" borderId="0"/>
    <xf numFmtId="4" fontId="2" fillId="0" borderId="0">
      <alignment horizontal="right"/>
    </xf>
    <xf numFmtId="4" fontId="5" fillId="0" borderId="0">
      <alignment horizontal="right"/>
    </xf>
    <xf numFmtId="0" fontId="6" fillId="0" borderId="0">
      <alignment horizontal="left"/>
    </xf>
    <xf numFmtId="0" fontId="7" fillId="0" borderId="0">
      <alignment horizontal="center"/>
    </xf>
    <xf numFmtId="9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9" fillId="0" borderId="0">
      <alignment vertical="center"/>
    </xf>
    <xf numFmtId="0" fontId="8" fillId="0" borderId="0"/>
    <xf numFmtId="0" fontId="10" fillId="0" borderId="0"/>
    <xf numFmtId="0" fontId="9" fillId="0" borderId="0">
      <alignment vertical="center"/>
    </xf>
    <xf numFmtId="0" fontId="9" fillId="0" borderId="0"/>
    <xf numFmtId="0" fontId="9" fillId="0" borderId="0"/>
  </cellStyleXfs>
  <cellXfs count="800">
    <xf numFmtId="0" fontId="0" fillId="0" borderId="0" xfId="0"/>
    <xf numFmtId="38" fontId="12" fillId="0" borderId="0" xfId="11" applyFont="1" applyFill="1" applyAlignment="1">
      <alignment horizontal="center" vertical="center" wrapText="1"/>
    </xf>
    <xf numFmtId="231" fontId="12" fillId="0" borderId="0" xfId="11" applyNumberFormat="1" applyFont="1" applyFill="1" applyAlignment="1">
      <alignment horizontal="center" vertical="center" wrapText="1"/>
    </xf>
    <xf numFmtId="232" fontId="12" fillId="0" borderId="0" xfId="11" applyNumberFormat="1" applyFont="1" applyFill="1" applyAlignment="1">
      <alignment horizontal="center" vertical="center" wrapText="1"/>
    </xf>
    <xf numFmtId="233" fontId="12" fillId="0" borderId="0" xfId="12" applyNumberFormat="1" applyFont="1" applyFill="1" applyAlignment="1">
      <alignment horizontal="center" vertical="center" wrapText="1"/>
    </xf>
    <xf numFmtId="234" fontId="12" fillId="0" borderId="0" xfId="12" applyNumberFormat="1" applyFont="1" applyFill="1" applyAlignment="1">
      <alignment horizontal="center" vertical="center" wrapText="1"/>
    </xf>
    <xf numFmtId="38" fontId="13" fillId="0" borderId="0" xfId="11" applyFont="1" applyFill="1" applyAlignment="1">
      <alignment vertical="center"/>
    </xf>
    <xf numFmtId="231" fontId="13" fillId="0" borderId="0" xfId="11" applyNumberFormat="1" applyFont="1" applyFill="1" applyAlignment="1">
      <alignment vertical="center"/>
    </xf>
    <xf numFmtId="232" fontId="13" fillId="0" borderId="0" xfId="11" applyNumberFormat="1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wrapText="1" shrinkToFit="1"/>
    </xf>
    <xf numFmtId="248" fontId="9" fillId="0" borderId="7" xfId="0" applyNumberFormat="1" applyFont="1" applyFill="1" applyBorder="1"/>
    <xf numFmtId="248" fontId="9" fillId="0" borderId="8" xfId="0" applyNumberFormat="1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center" shrinkToFit="1"/>
    </xf>
    <xf numFmtId="0" fontId="9" fillId="0" borderId="3" xfId="0" applyFont="1" applyFill="1" applyBorder="1" applyAlignment="1">
      <alignment horizontal="center" vertical="center" wrapText="1" shrinkToFit="1"/>
    </xf>
    <xf numFmtId="248" fontId="9" fillId="0" borderId="3" xfId="0" applyNumberFormat="1" applyFont="1" applyFill="1" applyBorder="1"/>
    <xf numFmtId="0" fontId="9" fillId="0" borderId="5" xfId="0" applyFont="1" applyFill="1" applyBorder="1" applyAlignment="1">
      <alignment horizontal="center" vertical="center" wrapText="1" shrinkToFit="1"/>
    </xf>
    <xf numFmtId="248" fontId="9" fillId="0" borderId="5" xfId="0" applyNumberFormat="1" applyFont="1" applyFill="1" applyBorder="1"/>
    <xf numFmtId="0" fontId="9" fillId="0" borderId="9" xfId="0" applyFont="1" applyBorder="1" applyAlignment="1">
      <alignment horizontal="center" vertical="center"/>
    </xf>
    <xf numFmtId="249" fontId="9" fillId="0" borderId="10" xfId="0" applyNumberFormat="1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center" vertical="center" shrinkToFit="1"/>
    </xf>
    <xf numFmtId="248" fontId="9" fillId="0" borderId="10" xfId="0" applyNumberFormat="1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 shrinkToFit="1"/>
    </xf>
    <xf numFmtId="0" fontId="9" fillId="0" borderId="11" xfId="0" applyFont="1" applyFill="1" applyBorder="1" applyAlignment="1">
      <alignment horizontal="center" vertical="center" wrapText="1" shrinkToFit="1"/>
    </xf>
    <xf numFmtId="248" fontId="9" fillId="0" borderId="11" xfId="0" applyNumberFormat="1" applyFont="1" applyFill="1" applyBorder="1"/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center" wrapText="1" shrinkToFit="1"/>
    </xf>
    <xf numFmtId="248" fontId="9" fillId="0" borderId="0" xfId="0" applyNumberFormat="1" applyFont="1" applyFill="1" applyBorder="1"/>
    <xf numFmtId="248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distributed" vertical="center" inden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distributed" vertical="center"/>
    </xf>
    <xf numFmtId="49" fontId="21" fillId="0" borderId="0" xfId="0" applyNumberFormat="1" applyFont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49" fontId="21" fillId="0" borderId="0" xfId="0" applyNumberFormat="1" applyFont="1" applyAlignment="1">
      <alignment vertical="center"/>
    </xf>
    <xf numFmtId="49" fontId="22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distributed" vertical="center" indent="1"/>
    </xf>
    <xf numFmtId="0" fontId="23" fillId="0" borderId="12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13" xfId="0" applyFont="1" applyBorder="1" applyAlignment="1">
      <alignment horizontal="center" vertical="center"/>
    </xf>
    <xf numFmtId="0" fontId="23" fillId="0" borderId="0" xfId="0" applyFont="1" applyBorder="1" applyAlignment="1">
      <alignment horizontal="centerContinuous" vertical="center"/>
    </xf>
    <xf numFmtId="0" fontId="23" fillId="0" borderId="14" xfId="0" applyFont="1" applyBorder="1" applyAlignment="1">
      <alignment vertical="center"/>
    </xf>
    <xf numFmtId="0" fontId="23" fillId="0" borderId="15" xfId="0" applyFont="1" applyBorder="1" applyAlignment="1">
      <alignment horizontal="right" vertical="center"/>
    </xf>
    <xf numFmtId="0" fontId="23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0" fontId="23" fillId="0" borderId="0" xfId="0" applyFont="1" applyFill="1" applyBorder="1" applyAlignment="1">
      <alignment vertical="center"/>
    </xf>
    <xf numFmtId="0" fontId="23" fillId="0" borderId="13" xfId="0" applyFont="1" applyBorder="1" applyAlignment="1">
      <alignment vertical="center"/>
    </xf>
    <xf numFmtId="0" fontId="23" fillId="0" borderId="4" xfId="0" applyFont="1" applyBorder="1" applyAlignment="1">
      <alignment horizontal="center" vertical="center"/>
    </xf>
    <xf numFmtId="0" fontId="23" fillId="0" borderId="16" xfId="0" applyFont="1" applyBorder="1" applyAlignment="1">
      <alignment horizontal="distributed" vertical="center"/>
    </xf>
    <xf numFmtId="0" fontId="23" fillId="0" borderId="0" xfId="0" applyFont="1" applyBorder="1" applyAlignment="1">
      <alignment horizontal="distributed" vertical="center"/>
    </xf>
    <xf numFmtId="0" fontId="23" fillId="0" borderId="17" xfId="0" applyFont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18" xfId="0" applyFont="1" applyBorder="1" applyAlignment="1">
      <alignment vertical="center"/>
    </xf>
    <xf numFmtId="0" fontId="23" fillId="0" borderId="20" xfId="0" applyFont="1" applyBorder="1" applyAlignment="1">
      <alignment vertical="center"/>
    </xf>
    <xf numFmtId="0" fontId="23" fillId="0" borderId="19" xfId="0" applyFont="1" applyBorder="1" applyAlignment="1">
      <alignment vertical="center"/>
    </xf>
    <xf numFmtId="0" fontId="23" fillId="0" borderId="3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 wrapText="1"/>
    </xf>
    <xf numFmtId="190" fontId="23" fillId="0" borderId="4" xfId="0" applyNumberFormat="1" applyFont="1" applyBorder="1" applyAlignment="1">
      <alignment vertical="center"/>
    </xf>
    <xf numFmtId="190" fontId="23" fillId="0" borderId="5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vertical="center"/>
    </xf>
    <xf numFmtId="190" fontId="23" fillId="0" borderId="5" xfId="0" applyNumberFormat="1" applyFont="1" applyBorder="1" applyAlignment="1">
      <alignment vertical="center"/>
    </xf>
    <xf numFmtId="0" fontId="9" fillId="0" borderId="21" xfId="0" applyNumberFormat="1" applyFont="1" applyFill="1" applyBorder="1" applyAlignment="1">
      <alignment horizontal="center" vertical="center"/>
    </xf>
    <xf numFmtId="190" fontId="23" fillId="0" borderId="3" xfId="0" applyNumberFormat="1" applyFont="1" applyBorder="1" applyAlignment="1">
      <alignment vertical="center"/>
    </xf>
    <xf numFmtId="49" fontId="9" fillId="0" borderId="21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3" fontId="23" fillId="0" borderId="0" xfId="0" applyNumberFormat="1" applyFont="1" applyBorder="1" applyAlignment="1">
      <alignment horizontal="centerContinuous" vertical="center"/>
    </xf>
    <xf numFmtId="0" fontId="23" fillId="0" borderId="0" xfId="0" applyFont="1" applyAlignment="1">
      <alignment horizontal="center" vertical="center"/>
    </xf>
    <xf numFmtId="38" fontId="23" fillId="0" borderId="0" xfId="11" applyFont="1" applyAlignment="1">
      <alignment vertical="center"/>
    </xf>
    <xf numFmtId="9" fontId="23" fillId="0" borderId="0" xfId="10" applyNumberFormat="1" applyFont="1" applyBorder="1" applyAlignment="1">
      <alignment horizontal="right" vertical="center"/>
    </xf>
    <xf numFmtId="183" fontId="23" fillId="0" borderId="0" xfId="11" applyNumberFormat="1" applyFont="1" applyBorder="1" applyAlignment="1">
      <alignment horizontal="right" vertical="center"/>
    </xf>
    <xf numFmtId="38" fontId="23" fillId="0" borderId="0" xfId="0" applyNumberFormat="1" applyFont="1" applyAlignment="1">
      <alignment vertical="center"/>
    </xf>
    <xf numFmtId="0" fontId="23" fillId="0" borderId="22" xfId="0" applyFont="1" applyBorder="1" applyAlignment="1">
      <alignment vertical="center"/>
    </xf>
    <xf numFmtId="0" fontId="23" fillId="0" borderId="23" xfId="0" applyFont="1" applyBorder="1" applyAlignment="1">
      <alignment vertical="center"/>
    </xf>
    <xf numFmtId="41" fontId="23" fillId="0" borderId="23" xfId="0" applyNumberFormat="1" applyFont="1" applyBorder="1" applyAlignment="1">
      <alignment horizontal="centerContinuous" vertical="center"/>
    </xf>
    <xf numFmtId="0" fontId="23" fillId="0" borderId="23" xfId="0" applyFont="1" applyBorder="1" applyAlignment="1">
      <alignment horizontal="centerContinuous" vertical="center"/>
    </xf>
    <xf numFmtId="0" fontId="23" fillId="0" borderId="24" xfId="0" applyFont="1" applyBorder="1" applyAlignment="1">
      <alignment vertical="center"/>
    </xf>
    <xf numFmtId="0" fontId="23" fillId="0" borderId="25" xfId="0" applyFont="1" applyBorder="1" applyAlignment="1">
      <alignment horizontal="centerContinuous" vertical="center"/>
    </xf>
    <xf numFmtId="0" fontId="23" fillId="0" borderId="26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3" fillId="0" borderId="27" xfId="0" applyFont="1" applyBorder="1" applyAlignment="1">
      <alignment vertical="center"/>
    </xf>
    <xf numFmtId="0" fontId="23" fillId="0" borderId="28" xfId="0" applyFont="1" applyBorder="1" applyAlignment="1">
      <alignment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right" vertical="center"/>
    </xf>
    <xf numFmtId="9" fontId="23" fillId="0" borderId="0" xfId="10" applyFont="1" applyBorder="1" applyAlignment="1">
      <alignment vertical="center"/>
    </xf>
    <xf numFmtId="49" fontId="23" fillId="0" borderId="0" xfId="0" applyNumberFormat="1" applyFont="1" applyBorder="1" applyAlignment="1">
      <alignment vertical="center"/>
    </xf>
    <xf numFmtId="49" fontId="23" fillId="0" borderId="0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vertical="center"/>
    </xf>
    <xf numFmtId="9" fontId="23" fillId="0" borderId="0" xfId="10" applyNumberFormat="1" applyFont="1" applyBorder="1" applyAlignment="1">
      <alignment vertical="center"/>
    </xf>
    <xf numFmtId="0" fontId="23" fillId="0" borderId="29" xfId="0" applyFont="1" applyBorder="1" applyAlignment="1">
      <alignment vertical="center"/>
    </xf>
    <xf numFmtId="0" fontId="26" fillId="0" borderId="0" xfId="12" applyFont="1" applyFill="1" applyAlignment="1">
      <alignment horizontal="center" vertical="center"/>
    </xf>
    <xf numFmtId="0" fontId="9" fillId="0" borderId="0" xfId="12" applyFont="1" applyAlignment="1">
      <alignment vertical="center"/>
    </xf>
    <xf numFmtId="0" fontId="9" fillId="0" borderId="0" xfId="12" applyFont="1" applyFill="1" applyBorder="1" applyAlignment="1">
      <alignment horizontal="center" vertical="center"/>
    </xf>
    <xf numFmtId="0" fontId="9" fillId="0" borderId="0" xfId="12" applyFont="1" applyFill="1" applyAlignment="1">
      <alignment vertical="center"/>
    </xf>
    <xf numFmtId="0" fontId="26" fillId="0" borderId="0" xfId="12" applyFont="1" applyFill="1" applyAlignment="1">
      <alignment horizontal="left" vertical="center"/>
    </xf>
    <xf numFmtId="0" fontId="9" fillId="0" borderId="5" xfId="12" applyFont="1" applyFill="1" applyBorder="1" applyAlignment="1">
      <alignment vertical="center"/>
    </xf>
    <xf numFmtId="0" fontId="27" fillId="0" borderId="0" xfId="12" applyFont="1" applyFill="1" applyAlignment="1">
      <alignment horizontal="center" vertical="center"/>
    </xf>
    <xf numFmtId="0" fontId="9" fillId="0" borderId="5" xfId="12" applyFont="1" applyFill="1" applyBorder="1" applyAlignment="1">
      <alignment horizontal="center" vertical="center" shrinkToFit="1"/>
    </xf>
    <xf numFmtId="0" fontId="9" fillId="0" borderId="5" xfId="12" applyFont="1" applyFill="1" applyBorder="1" applyAlignment="1">
      <alignment horizontal="center" vertical="center"/>
    </xf>
    <xf numFmtId="0" fontId="9" fillId="0" borderId="10" xfId="12" applyFont="1" applyFill="1" applyBorder="1" applyAlignment="1">
      <alignment horizontal="right" vertical="center" shrinkToFit="1"/>
    </xf>
    <xf numFmtId="38" fontId="9" fillId="0" borderId="2" xfId="11" applyFont="1" applyFill="1" applyBorder="1" applyAlignment="1">
      <alignment horizontal="right" vertical="center" shrinkToFit="1"/>
    </xf>
    <xf numFmtId="0" fontId="9" fillId="0" borderId="30" xfId="12" applyFont="1" applyFill="1" applyBorder="1" applyAlignment="1">
      <alignment horizontal="left" vertical="center" shrinkToFit="1"/>
    </xf>
    <xf numFmtId="38" fontId="27" fillId="0" borderId="0" xfId="11" applyFont="1" applyFill="1" applyAlignment="1">
      <alignment horizontal="center" vertical="center"/>
    </xf>
    <xf numFmtId="38" fontId="9" fillId="0" borderId="5" xfId="11" applyFont="1" applyFill="1" applyBorder="1" applyAlignment="1">
      <alignment vertical="center" shrinkToFit="1"/>
    </xf>
    <xf numFmtId="38" fontId="9" fillId="0" borderId="5" xfId="12" applyNumberFormat="1" applyFont="1" applyFill="1" applyBorder="1" applyAlignment="1">
      <alignment vertical="center" shrinkToFit="1"/>
    </xf>
    <xf numFmtId="191" fontId="9" fillId="0" borderId="5" xfId="12" applyNumberFormat="1" applyFont="1" applyFill="1" applyBorder="1" applyAlignment="1">
      <alignment horizontal="right" vertical="center" wrapText="1"/>
    </xf>
    <xf numFmtId="38" fontId="9" fillId="0" borderId="0" xfId="11" applyFont="1" applyFill="1" applyAlignment="1">
      <alignment horizontal="center" vertical="center" wrapText="1"/>
    </xf>
    <xf numFmtId="0" fontId="9" fillId="0" borderId="0" xfId="12" applyFont="1" applyFill="1" applyAlignment="1">
      <alignment horizontal="center" vertical="center" wrapText="1"/>
    </xf>
    <xf numFmtId="0" fontId="9" fillId="0" borderId="30" xfId="12" applyFont="1" applyFill="1" applyBorder="1" applyAlignment="1">
      <alignment horizontal="center" vertical="center" shrinkToFit="1"/>
    </xf>
    <xf numFmtId="0" fontId="9" fillId="0" borderId="0" xfId="12" applyFont="1" applyFill="1" applyAlignment="1">
      <alignment vertical="center" shrinkToFit="1"/>
    </xf>
    <xf numFmtId="192" fontId="9" fillId="0" borderId="0" xfId="12" applyNumberFormat="1" applyFont="1" applyFill="1">
      <alignment vertical="center"/>
    </xf>
    <xf numFmtId="233" fontId="9" fillId="0" borderId="0" xfId="12" applyNumberFormat="1" applyFont="1" applyFill="1">
      <alignment vertical="center"/>
    </xf>
    <xf numFmtId="234" fontId="9" fillId="0" borderId="0" xfId="12" applyNumberFormat="1" applyFont="1" applyFill="1">
      <alignment vertical="center"/>
    </xf>
    <xf numFmtId="38" fontId="9" fillId="0" borderId="0" xfId="12" applyNumberFormat="1" applyFont="1" applyFill="1">
      <alignment vertical="center"/>
    </xf>
    <xf numFmtId="38" fontId="9" fillId="0" borderId="2" xfId="11" applyNumberFormat="1" applyFont="1" applyFill="1" applyBorder="1" applyAlignment="1">
      <alignment horizontal="right" vertical="center" shrinkToFit="1"/>
    </xf>
    <xf numFmtId="0" fontId="23" fillId="0" borderId="0" xfId="12" applyFont="1" applyFill="1" applyBorder="1" applyAlignment="1">
      <alignment horizontal="center" vertical="center"/>
    </xf>
    <xf numFmtId="0" fontId="9" fillId="0" borderId="5" xfId="12" applyFont="1" applyFill="1" applyBorder="1" applyAlignment="1">
      <alignment vertical="center" shrinkToFit="1"/>
    </xf>
    <xf numFmtId="49" fontId="9" fillId="0" borderId="10" xfId="12" applyNumberFormat="1" applyFont="1" applyFill="1" applyBorder="1" applyAlignment="1">
      <alignment horizontal="right" vertical="center" shrinkToFit="1"/>
    </xf>
    <xf numFmtId="206" fontId="9" fillId="0" borderId="2" xfId="12" applyNumberFormat="1" applyFont="1" applyFill="1" applyBorder="1" applyAlignment="1">
      <alignment horizontal="right" vertical="center" shrinkToFit="1"/>
    </xf>
    <xf numFmtId="49" fontId="9" fillId="0" borderId="30" xfId="12" applyNumberFormat="1" applyFont="1" applyFill="1" applyBorder="1" applyAlignment="1">
      <alignment horizontal="left" vertical="center" shrinkToFit="1"/>
    </xf>
    <xf numFmtId="205" fontId="9" fillId="0" borderId="2" xfId="12" applyNumberFormat="1" applyFont="1" applyFill="1" applyBorder="1" applyAlignment="1">
      <alignment horizontal="right" vertical="center" shrinkToFit="1"/>
    </xf>
    <xf numFmtId="0" fontId="9" fillId="0" borderId="0" xfId="12" applyFont="1" applyAlignment="1">
      <alignment horizontal="center" vertical="center"/>
    </xf>
    <xf numFmtId="205" fontId="9" fillId="0" borderId="5" xfId="11" applyNumberFormat="1" applyFont="1" applyFill="1" applyBorder="1" applyAlignment="1">
      <alignment vertical="center" shrinkToFit="1"/>
    </xf>
    <xf numFmtId="38" fontId="9" fillId="0" borderId="5" xfId="11" applyNumberFormat="1" applyFont="1" applyFill="1" applyBorder="1" applyAlignment="1">
      <alignment vertical="center" shrinkToFit="1"/>
    </xf>
    <xf numFmtId="0" fontId="9" fillId="0" borderId="5" xfId="12" quotePrefix="1" applyFont="1" applyFill="1" applyBorder="1" applyAlignment="1">
      <alignment horizontal="center" vertical="center" shrinkToFit="1"/>
    </xf>
    <xf numFmtId="0" fontId="9" fillId="0" borderId="5" xfId="12" applyFont="1" applyFill="1" applyBorder="1" applyAlignment="1">
      <alignment horizontal="right" vertical="center" shrinkToFit="1"/>
    </xf>
    <xf numFmtId="0" fontId="9" fillId="2" borderId="5" xfId="12" applyFont="1" applyFill="1" applyBorder="1" applyAlignment="1">
      <alignment vertical="center" shrinkToFit="1"/>
    </xf>
    <xf numFmtId="0" fontId="9" fillId="2" borderId="5" xfId="12" applyFont="1" applyFill="1" applyBorder="1" applyAlignment="1">
      <alignment horizontal="center" vertical="center"/>
    </xf>
    <xf numFmtId="38" fontId="9" fillId="2" borderId="5" xfId="11" applyFont="1" applyFill="1" applyBorder="1" applyAlignment="1">
      <alignment vertical="center"/>
    </xf>
    <xf numFmtId="191" fontId="23" fillId="0" borderId="0" xfId="13" applyNumberFormat="1" applyFont="1" applyAlignment="1">
      <alignment vertical="center"/>
    </xf>
    <xf numFmtId="191" fontId="23" fillId="0" borderId="4" xfId="13" applyNumberFormat="1" applyFont="1" applyBorder="1" applyAlignment="1">
      <alignment horizontal="center" vertical="center"/>
    </xf>
    <xf numFmtId="191" fontId="23" fillId="0" borderId="0" xfId="13" applyNumberFormat="1" applyFont="1" applyBorder="1" applyAlignment="1">
      <alignment horizontal="center" vertical="center"/>
    </xf>
    <xf numFmtId="191" fontId="23" fillId="0" borderId="31" xfId="13" applyNumberFormat="1" applyFont="1" applyBorder="1" applyAlignment="1">
      <alignment horizontal="center" vertical="center"/>
    </xf>
    <xf numFmtId="191" fontId="23" fillId="0" borderId="3" xfId="13" applyNumberFormat="1" applyFont="1" applyBorder="1" applyAlignment="1">
      <alignment vertical="center"/>
    </xf>
    <xf numFmtId="191" fontId="23" fillId="0" borderId="5" xfId="13" applyNumberFormat="1" applyFont="1" applyBorder="1" applyAlignment="1">
      <alignment vertical="center"/>
    </xf>
    <xf numFmtId="191" fontId="23" fillId="0" borderId="0" xfId="13" applyNumberFormat="1" applyFont="1" applyBorder="1" applyAlignment="1">
      <alignment vertical="center"/>
    </xf>
    <xf numFmtId="191" fontId="23" fillId="0" borderId="3" xfId="13" applyNumberFormat="1" applyFont="1" applyBorder="1" applyAlignment="1">
      <alignment horizontal="center" vertical="center"/>
    </xf>
    <xf numFmtId="191" fontId="23" fillId="0" borderId="16" xfId="13" applyNumberFormat="1" applyFont="1" applyBorder="1" applyAlignment="1">
      <alignment vertical="center"/>
    </xf>
    <xf numFmtId="191" fontId="23" fillId="0" borderId="18" xfId="13" applyNumberFormat="1" applyFont="1" applyBorder="1" applyAlignment="1">
      <alignment vertical="center"/>
    </xf>
    <xf numFmtId="209" fontId="23" fillId="0" borderId="0" xfId="13" applyNumberFormat="1" applyFont="1" applyAlignment="1">
      <alignment vertical="center"/>
    </xf>
    <xf numFmtId="191" fontId="23" fillId="0" borderId="4" xfId="13" applyNumberFormat="1" applyFont="1" applyBorder="1" applyAlignment="1">
      <alignment vertical="center"/>
    </xf>
    <xf numFmtId="0" fontId="9" fillId="0" borderId="0" xfId="16" applyFont="1"/>
    <xf numFmtId="191" fontId="23" fillId="0" borderId="31" xfId="13" applyNumberFormat="1" applyFont="1" applyBorder="1" applyAlignment="1">
      <alignment vertical="center"/>
    </xf>
    <xf numFmtId="191" fontId="18" fillId="0" borderId="5" xfId="13" applyNumberFormat="1" applyFont="1" applyBorder="1" applyAlignment="1">
      <alignment vertical="center" shrinkToFit="1"/>
    </xf>
    <xf numFmtId="191" fontId="23" fillId="0" borderId="0" xfId="13" applyNumberFormat="1" applyFont="1" applyAlignment="1">
      <alignment horizontal="center" vertical="center"/>
    </xf>
    <xf numFmtId="191" fontId="23" fillId="0" borderId="0" xfId="13" applyNumberFormat="1" applyFont="1" applyAlignment="1">
      <alignment horizontal="center" vertical="center" shrinkToFit="1"/>
    </xf>
    <xf numFmtId="211" fontId="23" fillId="0" borderId="0" xfId="13" applyNumberFormat="1" applyFont="1" applyAlignment="1">
      <alignment vertical="center" shrinkToFit="1"/>
    </xf>
    <xf numFmtId="212" fontId="23" fillId="0" borderId="0" xfId="13" applyNumberFormat="1" applyFont="1" applyAlignment="1">
      <alignment vertical="center" shrinkToFit="1"/>
    </xf>
    <xf numFmtId="214" fontId="23" fillId="0" borderId="0" xfId="13" applyNumberFormat="1" applyFont="1" applyAlignment="1">
      <alignment vertical="center" shrinkToFit="1"/>
    </xf>
    <xf numFmtId="215" fontId="23" fillId="0" borderId="0" xfId="13" applyNumberFormat="1" applyFont="1" applyAlignment="1">
      <alignment vertical="center" shrinkToFit="1"/>
    </xf>
    <xf numFmtId="216" fontId="23" fillId="0" borderId="0" xfId="13" applyNumberFormat="1" applyFont="1" applyAlignment="1">
      <alignment vertical="center" shrinkToFit="1"/>
    </xf>
    <xf numFmtId="191" fontId="23" fillId="0" borderId="0" xfId="13" applyNumberFormat="1" applyFont="1" applyAlignment="1">
      <alignment vertical="center" shrinkToFit="1"/>
    </xf>
    <xf numFmtId="217" fontId="23" fillId="0" borderId="0" xfId="13" applyNumberFormat="1" applyFont="1" applyAlignment="1">
      <alignment vertical="center" shrinkToFit="1"/>
    </xf>
    <xf numFmtId="218" fontId="23" fillId="0" borderId="0" xfId="13" applyNumberFormat="1" applyFont="1" applyAlignment="1">
      <alignment vertical="center" shrinkToFit="1"/>
    </xf>
    <xf numFmtId="213" fontId="23" fillId="0" borderId="0" xfId="13" applyNumberFormat="1" applyFont="1" applyAlignment="1">
      <alignment vertical="center" shrinkToFit="1"/>
    </xf>
    <xf numFmtId="219" fontId="23" fillId="0" borderId="0" xfId="13" applyNumberFormat="1" applyFont="1" applyAlignment="1">
      <alignment vertical="center"/>
    </xf>
    <xf numFmtId="220" fontId="23" fillId="0" borderId="0" xfId="13" applyNumberFormat="1" applyFont="1" applyAlignment="1">
      <alignment vertical="center"/>
    </xf>
    <xf numFmtId="221" fontId="23" fillId="0" borderId="0" xfId="13" applyNumberFormat="1" applyFont="1" applyAlignment="1">
      <alignment vertical="center"/>
    </xf>
    <xf numFmtId="222" fontId="23" fillId="0" borderId="0" xfId="13" applyNumberFormat="1" applyFont="1" applyAlignment="1">
      <alignment vertical="center"/>
    </xf>
    <xf numFmtId="223" fontId="23" fillId="0" borderId="0" xfId="13" applyNumberFormat="1" applyFont="1" applyAlignment="1">
      <alignment vertical="center"/>
    </xf>
    <xf numFmtId="224" fontId="23" fillId="0" borderId="0" xfId="13" applyNumberFormat="1" applyFont="1" applyAlignment="1">
      <alignment vertical="center"/>
    </xf>
    <xf numFmtId="225" fontId="23" fillId="0" borderId="0" xfId="13" applyNumberFormat="1" applyFont="1" applyAlignment="1">
      <alignment vertical="center"/>
    </xf>
    <xf numFmtId="226" fontId="23" fillId="0" borderId="0" xfId="13" applyNumberFormat="1" applyFont="1" applyAlignment="1">
      <alignment vertical="center"/>
    </xf>
    <xf numFmtId="3" fontId="23" fillId="0" borderId="0" xfId="13" applyNumberFormat="1" applyFont="1" applyAlignment="1">
      <alignment vertical="center"/>
    </xf>
    <xf numFmtId="227" fontId="23" fillId="0" borderId="0" xfId="13" applyNumberFormat="1" applyFont="1" applyAlignment="1">
      <alignment vertical="center"/>
    </xf>
    <xf numFmtId="228" fontId="23" fillId="0" borderId="0" xfId="13" applyNumberFormat="1" applyFont="1" applyAlignment="1">
      <alignment vertical="center"/>
    </xf>
    <xf numFmtId="229" fontId="23" fillId="0" borderId="0" xfId="13" applyNumberFormat="1" applyFont="1" applyAlignment="1">
      <alignment vertical="center"/>
    </xf>
    <xf numFmtId="230" fontId="23" fillId="0" borderId="0" xfId="13" applyNumberFormat="1" applyFont="1" applyAlignment="1">
      <alignment vertical="center"/>
    </xf>
    <xf numFmtId="0" fontId="28" fillId="0" borderId="0" xfId="15" applyFont="1" applyAlignment="1">
      <alignment vertical="center"/>
    </xf>
    <xf numFmtId="0" fontId="28" fillId="0" borderId="0" xfId="15" applyFont="1" applyAlignment="1">
      <alignment horizontal="center" vertical="center"/>
    </xf>
    <xf numFmtId="0" fontId="28" fillId="0" borderId="5" xfId="15" applyFont="1" applyBorder="1" applyAlignment="1">
      <alignment vertical="center"/>
    </xf>
    <xf numFmtId="0" fontId="28" fillId="0" borderId="5" xfId="15" applyFont="1" applyBorder="1" applyAlignment="1">
      <alignment horizontal="center" vertical="center"/>
    </xf>
    <xf numFmtId="0" fontId="28" fillId="0" borderId="28" xfId="15" applyFont="1" applyBorder="1" applyAlignment="1">
      <alignment horizontal="center" vertical="center"/>
    </xf>
    <xf numFmtId="0" fontId="28" fillId="0" borderId="32" xfId="15" applyFont="1" applyBorder="1" applyAlignment="1">
      <alignment vertical="center"/>
    </xf>
    <xf numFmtId="0" fontId="28" fillId="0" borderId="15" xfId="15" applyFont="1" applyBorder="1" applyAlignment="1">
      <alignment vertical="center"/>
    </xf>
    <xf numFmtId="0" fontId="28" fillId="0" borderId="4" xfId="15" applyFont="1" applyBorder="1" applyAlignment="1">
      <alignment vertical="center"/>
    </xf>
    <xf numFmtId="0" fontId="23" fillId="0" borderId="32" xfId="15" applyFont="1" applyBorder="1" applyAlignment="1">
      <alignment horizontal="center" vertical="center" shrinkToFit="1"/>
    </xf>
    <xf numFmtId="0" fontId="23" fillId="0" borderId="32" xfId="15" applyFont="1" applyBorder="1" applyAlignment="1">
      <alignment horizontal="center" vertical="center"/>
    </xf>
    <xf numFmtId="0" fontId="28" fillId="0" borderId="15" xfId="15" applyFont="1" applyBorder="1" applyAlignment="1">
      <alignment horizontal="center" vertical="center"/>
    </xf>
    <xf numFmtId="0" fontId="28" fillId="0" borderId="31" xfId="15" applyFont="1" applyBorder="1" applyAlignment="1">
      <alignment horizontal="center" vertical="center"/>
    </xf>
    <xf numFmtId="0" fontId="28" fillId="0" borderId="16" xfId="15" applyFont="1" applyBorder="1" applyAlignment="1">
      <alignment horizontal="center" vertical="center"/>
    </xf>
    <xf numFmtId="0" fontId="28" fillId="0" borderId="0" xfId="15" applyFont="1" applyBorder="1" applyAlignment="1">
      <alignment horizontal="distributed" vertical="center"/>
    </xf>
    <xf numFmtId="0" fontId="28" fillId="0" borderId="17" xfId="15" applyFont="1" applyBorder="1" applyAlignment="1">
      <alignment vertical="center"/>
    </xf>
    <xf numFmtId="203" fontId="28" fillId="0" borderId="31" xfId="11" applyNumberFormat="1" applyFont="1" applyBorder="1" applyAlignment="1">
      <alignment horizontal="center" vertical="center"/>
    </xf>
    <xf numFmtId="197" fontId="28" fillId="0" borderId="16" xfId="11" applyNumberFormat="1" applyFont="1" applyBorder="1" applyAlignment="1">
      <alignment horizontal="center" vertical="center"/>
    </xf>
    <xf numFmtId="198" fontId="28" fillId="0" borderId="0" xfId="11" applyNumberFormat="1" applyFont="1" applyBorder="1" applyAlignment="1">
      <alignment horizontal="center" vertical="center"/>
    </xf>
    <xf numFmtId="38" fontId="28" fillId="0" borderId="0" xfId="11" applyFont="1" applyBorder="1" applyAlignment="1">
      <alignment horizontal="center" vertical="center"/>
    </xf>
    <xf numFmtId="203" fontId="28" fillId="0" borderId="0" xfId="11" applyNumberFormat="1" applyFont="1" applyBorder="1" applyAlignment="1">
      <alignment horizontal="center" vertical="center"/>
    </xf>
    <xf numFmtId="0" fontId="28" fillId="0" borderId="0" xfId="15" applyFont="1" applyBorder="1" applyAlignment="1">
      <alignment horizontal="center" vertical="center"/>
    </xf>
    <xf numFmtId="198" fontId="28" fillId="0" borderId="0" xfId="15" applyNumberFormat="1" applyFont="1" applyAlignment="1">
      <alignment horizontal="center" vertical="center"/>
    </xf>
    <xf numFmtId="0" fontId="28" fillId="0" borderId="0" xfId="15" applyFont="1" applyBorder="1" applyAlignment="1">
      <alignment vertical="center"/>
    </xf>
    <xf numFmtId="198" fontId="28" fillId="0" borderId="33" xfId="11" applyNumberFormat="1" applyFont="1" applyBorder="1" applyAlignment="1">
      <alignment horizontal="center" vertical="center"/>
    </xf>
    <xf numFmtId="0" fontId="28" fillId="0" borderId="33" xfId="11" applyNumberFormat="1" applyFont="1" applyBorder="1" applyAlignment="1">
      <alignment horizontal="center" vertical="center"/>
    </xf>
    <xf numFmtId="0" fontId="28" fillId="0" borderId="33" xfId="15" applyFont="1" applyBorder="1" applyAlignment="1">
      <alignment horizontal="center" vertical="center"/>
    </xf>
    <xf numFmtId="198" fontId="28" fillId="0" borderId="33" xfId="15" applyNumberFormat="1" applyFont="1" applyBorder="1" applyAlignment="1">
      <alignment horizontal="center" vertical="center"/>
    </xf>
    <xf numFmtId="0" fontId="28" fillId="0" borderId="0" xfId="11" applyNumberFormat="1" applyFont="1" applyBorder="1" applyAlignment="1">
      <alignment horizontal="center" vertical="center"/>
    </xf>
    <xf numFmtId="198" fontId="28" fillId="0" borderId="0" xfId="15" applyNumberFormat="1" applyFont="1" applyBorder="1" applyAlignment="1">
      <alignment horizontal="center" vertical="center"/>
    </xf>
    <xf numFmtId="0" fontId="28" fillId="0" borderId="0" xfId="11" applyNumberFormat="1" applyFont="1" applyFill="1" applyBorder="1" applyAlignment="1">
      <alignment horizontal="center" vertical="center"/>
    </xf>
    <xf numFmtId="198" fontId="29" fillId="0" borderId="0" xfId="15" applyNumberFormat="1" applyFont="1" applyBorder="1" applyAlignment="1">
      <alignment horizontal="center" vertical="center"/>
    </xf>
    <xf numFmtId="0" fontId="28" fillId="0" borderId="18" xfId="15" applyFont="1" applyBorder="1" applyAlignment="1">
      <alignment horizontal="center" vertical="center"/>
    </xf>
    <xf numFmtId="0" fontId="28" fillId="0" borderId="20" xfId="15" applyFont="1" applyBorder="1" applyAlignment="1">
      <alignment vertical="center"/>
    </xf>
    <xf numFmtId="0" fontId="28" fillId="0" borderId="19" xfId="15" applyFont="1" applyBorder="1" applyAlignment="1">
      <alignment vertical="center"/>
    </xf>
    <xf numFmtId="0" fontId="28" fillId="0" borderId="3" xfId="15" applyFont="1" applyBorder="1" applyAlignment="1">
      <alignment vertical="center"/>
    </xf>
    <xf numFmtId="0" fontId="28" fillId="0" borderId="18" xfId="15" applyFont="1" applyBorder="1" applyAlignment="1">
      <alignment vertical="center"/>
    </xf>
    <xf numFmtId="0" fontId="28" fillId="0" borderId="20" xfId="15" applyFont="1" applyBorder="1" applyAlignment="1">
      <alignment horizontal="center" vertical="center"/>
    </xf>
    <xf numFmtId="0" fontId="28" fillId="0" borderId="0" xfId="15" applyFont="1" applyAlignment="1">
      <alignment horizontal="right" vertical="center"/>
    </xf>
    <xf numFmtId="0" fontId="28" fillId="0" borderId="0" xfId="15" applyFont="1" applyAlignment="1">
      <alignment horizontal="left" vertical="center" shrinkToFit="1"/>
    </xf>
    <xf numFmtId="197" fontId="28" fillId="0" borderId="31" xfId="11" applyNumberFormat="1" applyFont="1" applyBorder="1" applyAlignment="1">
      <alignment horizontal="center" vertical="center"/>
    </xf>
    <xf numFmtId="197" fontId="28" fillId="0" borderId="0" xfId="11" applyNumberFormat="1" applyFont="1" applyBorder="1" applyAlignment="1">
      <alignment horizontal="center" vertical="center"/>
    </xf>
    <xf numFmtId="38" fontId="28" fillId="0" borderId="0" xfId="11" applyFont="1" applyBorder="1" applyAlignment="1" applyProtection="1">
      <alignment horizontal="center" vertical="center"/>
      <protection locked="0"/>
    </xf>
    <xf numFmtId="198" fontId="28" fillId="0" borderId="23" xfId="11" applyNumberFormat="1" applyFont="1" applyBorder="1" applyAlignment="1">
      <alignment horizontal="center" vertical="center"/>
    </xf>
    <xf numFmtId="38" fontId="28" fillId="0" borderId="23" xfId="11" applyFont="1" applyBorder="1" applyAlignment="1" applyProtection="1">
      <alignment horizontal="center" vertical="center"/>
      <protection locked="0"/>
    </xf>
    <xf numFmtId="197" fontId="28" fillId="0" borderId="23" xfId="11" applyNumberFormat="1" applyFont="1" applyBorder="1" applyAlignment="1">
      <alignment horizontal="center" vertical="center"/>
    </xf>
    <xf numFmtId="38" fontId="28" fillId="0" borderId="23" xfId="11" applyFont="1" applyBorder="1" applyAlignment="1">
      <alignment horizontal="center" vertical="center"/>
    </xf>
    <xf numFmtId="203" fontId="28" fillId="0" borderId="23" xfId="11" applyNumberFormat="1" applyFont="1" applyBorder="1" applyAlignment="1">
      <alignment horizontal="center" vertical="center"/>
    </xf>
    <xf numFmtId="0" fontId="28" fillId="0" borderId="16" xfId="15" applyFont="1" applyFill="1" applyBorder="1" applyAlignment="1">
      <alignment horizontal="center" vertical="center"/>
    </xf>
    <xf numFmtId="0" fontId="28" fillId="0" borderId="32" xfId="15" applyFont="1" applyFill="1" applyBorder="1" applyAlignment="1">
      <alignment vertical="center"/>
    </xf>
    <xf numFmtId="0" fontId="28" fillId="0" borderId="17" xfId="15" applyFont="1" applyFill="1" applyBorder="1" applyAlignment="1">
      <alignment vertical="center"/>
    </xf>
    <xf numFmtId="0" fontId="28" fillId="0" borderId="4" xfId="15" applyFont="1" applyFill="1" applyBorder="1" applyAlignment="1">
      <alignment vertical="center"/>
    </xf>
    <xf numFmtId="0" fontId="23" fillId="0" borderId="0" xfId="15" applyFont="1" applyFill="1" applyBorder="1" applyAlignment="1">
      <alignment horizontal="center" vertical="center"/>
    </xf>
    <xf numFmtId="0" fontId="28" fillId="0" borderId="17" xfId="15" applyFont="1" applyFill="1" applyBorder="1" applyAlignment="1">
      <alignment horizontal="center" vertical="center"/>
    </xf>
    <xf numFmtId="0" fontId="28" fillId="0" borderId="0" xfId="15" applyFont="1" applyFill="1" applyAlignment="1">
      <alignment vertical="center"/>
    </xf>
    <xf numFmtId="0" fontId="28" fillId="0" borderId="31" xfId="15" applyFont="1" applyFill="1" applyBorder="1" applyAlignment="1">
      <alignment horizontal="center" vertical="center"/>
    </xf>
    <xf numFmtId="0" fontId="28" fillId="0" borderId="0" xfId="15" applyFont="1" applyFill="1" applyBorder="1" applyAlignment="1">
      <alignment horizontal="distributed" vertical="center"/>
    </xf>
    <xf numFmtId="244" fontId="28" fillId="0" borderId="31" xfId="11" applyNumberFormat="1" applyFont="1" applyFill="1" applyBorder="1" applyAlignment="1">
      <alignment horizontal="center" vertical="center"/>
    </xf>
    <xf numFmtId="197" fontId="28" fillId="0" borderId="16" xfId="11" applyNumberFormat="1" applyFont="1" applyFill="1" applyBorder="1" applyAlignment="1">
      <alignment horizontal="center" vertical="center"/>
    </xf>
    <xf numFmtId="198" fontId="28" fillId="0" borderId="0" xfId="11" applyNumberFormat="1" applyFont="1" applyFill="1" applyBorder="1" applyAlignment="1">
      <alignment horizontal="center" vertical="center"/>
    </xf>
    <xf numFmtId="0" fontId="9" fillId="0" borderId="0" xfId="15" applyFont="1" applyFill="1" applyAlignment="1">
      <alignment horizontal="center" vertical="center"/>
    </xf>
    <xf numFmtId="199" fontId="28" fillId="0" borderId="0" xfId="11" applyNumberFormat="1" applyFont="1" applyFill="1" applyBorder="1" applyAlignment="1">
      <alignment horizontal="center" vertical="center"/>
    </xf>
    <xf numFmtId="38" fontId="28" fillId="0" borderId="0" xfId="11" applyFont="1" applyFill="1" applyBorder="1" applyAlignment="1">
      <alignment horizontal="center" vertical="center"/>
    </xf>
    <xf numFmtId="244" fontId="28" fillId="0" borderId="0" xfId="11" applyNumberFormat="1" applyFont="1" applyFill="1" applyBorder="1" applyAlignment="1">
      <alignment horizontal="center" vertical="center"/>
    </xf>
    <xf numFmtId="198" fontId="28" fillId="0" borderId="23" xfId="11" applyNumberFormat="1" applyFont="1" applyFill="1" applyBorder="1" applyAlignment="1">
      <alignment horizontal="center" vertical="center"/>
    </xf>
    <xf numFmtId="0" fontId="9" fillId="0" borderId="23" xfId="15" applyFont="1" applyFill="1" applyBorder="1" applyAlignment="1">
      <alignment horizontal="center" vertical="center"/>
    </xf>
    <xf numFmtId="199" fontId="28" fillId="0" borderId="23" xfId="11" applyNumberFormat="1" applyFont="1" applyFill="1" applyBorder="1" applyAlignment="1">
      <alignment horizontal="center" vertical="center"/>
    </xf>
    <xf numFmtId="38" fontId="28" fillId="0" borderId="23" xfId="11" applyFont="1" applyFill="1" applyBorder="1" applyAlignment="1">
      <alignment horizontal="center" vertical="center"/>
    </xf>
    <xf numFmtId="244" fontId="28" fillId="0" borderId="23" xfId="11" applyNumberFormat="1" applyFont="1" applyFill="1" applyBorder="1" applyAlignment="1">
      <alignment horizontal="center" vertical="center"/>
    </xf>
    <xf numFmtId="0" fontId="28" fillId="0" borderId="0" xfId="15" applyFont="1" applyFill="1" applyBorder="1" applyAlignment="1">
      <alignment vertical="center"/>
    </xf>
    <xf numFmtId="0" fontId="28" fillId="0" borderId="0" xfId="15" applyFont="1" applyFill="1" applyBorder="1" applyAlignment="1">
      <alignment horizontal="center" vertical="center"/>
    </xf>
    <xf numFmtId="198" fontId="28" fillId="0" borderId="0" xfId="15" applyNumberFormat="1" applyFont="1" applyFill="1" applyBorder="1" applyAlignment="1">
      <alignment horizontal="center" vertical="center"/>
    </xf>
    <xf numFmtId="198" fontId="29" fillId="0" borderId="0" xfId="15" applyNumberFormat="1" applyFont="1" applyFill="1" applyBorder="1" applyAlignment="1">
      <alignment horizontal="center" vertical="center"/>
    </xf>
    <xf numFmtId="0" fontId="28" fillId="0" borderId="18" xfId="15" applyFont="1" applyFill="1" applyBorder="1" applyAlignment="1">
      <alignment horizontal="center" vertical="center"/>
    </xf>
    <xf numFmtId="0" fontId="28" fillId="0" borderId="20" xfId="15" applyFont="1" applyFill="1" applyBorder="1" applyAlignment="1">
      <alignment vertical="center"/>
    </xf>
    <xf numFmtId="0" fontId="28" fillId="0" borderId="19" xfId="15" applyFont="1" applyFill="1" applyBorder="1" applyAlignment="1">
      <alignment vertical="center"/>
    </xf>
    <xf numFmtId="0" fontId="28" fillId="0" borderId="3" xfId="15" applyFont="1" applyFill="1" applyBorder="1" applyAlignment="1">
      <alignment vertical="center"/>
    </xf>
    <xf numFmtId="0" fontId="28" fillId="0" borderId="18" xfId="15" applyFont="1" applyFill="1" applyBorder="1" applyAlignment="1">
      <alignment vertical="center"/>
    </xf>
    <xf numFmtId="0" fontId="28" fillId="0" borderId="20" xfId="15" applyFont="1" applyFill="1" applyBorder="1" applyAlignment="1">
      <alignment horizontal="center" vertical="center"/>
    </xf>
    <xf numFmtId="0" fontId="28" fillId="0" borderId="32" xfId="15" applyFont="1" applyBorder="1" applyAlignment="1">
      <alignment horizontal="left" vertical="center"/>
    </xf>
    <xf numFmtId="0" fontId="28" fillId="0" borderId="32" xfId="15" applyFont="1" applyBorder="1" applyAlignment="1">
      <alignment horizontal="center" vertical="center"/>
    </xf>
    <xf numFmtId="238" fontId="28" fillId="0" borderId="31" xfId="11" applyNumberFormat="1" applyFont="1" applyBorder="1" applyAlignment="1">
      <alignment horizontal="center" vertical="center"/>
    </xf>
    <xf numFmtId="239" fontId="28" fillId="0" borderId="0" xfId="11" applyNumberFormat="1" applyFont="1" applyBorder="1" applyAlignment="1">
      <alignment horizontal="center" vertical="center"/>
    </xf>
    <xf numFmtId="238" fontId="28" fillId="0" borderId="0" xfId="11" applyNumberFormat="1" applyFont="1" applyBorder="1" applyAlignment="1">
      <alignment horizontal="center" vertical="center"/>
    </xf>
    <xf numFmtId="0" fontId="28" fillId="0" borderId="31" xfId="15" applyFont="1" applyBorder="1" applyAlignment="1">
      <alignment vertical="center"/>
    </xf>
    <xf numFmtId="0" fontId="28" fillId="0" borderId="16" xfId="15" applyFont="1" applyBorder="1" applyAlignment="1">
      <alignment vertical="center"/>
    </xf>
    <xf numFmtId="0" fontId="28" fillId="0" borderId="0" xfId="15" applyFont="1" applyAlignment="1">
      <alignment vertical="center" shrinkToFit="1"/>
    </xf>
    <xf numFmtId="0" fontId="28" fillId="0" borderId="17" xfId="15" applyFont="1" applyBorder="1" applyAlignment="1">
      <alignment horizontal="center" vertical="center"/>
    </xf>
    <xf numFmtId="200" fontId="28" fillId="0" borderId="31" xfId="11" applyNumberFormat="1" applyFont="1" applyBorder="1" applyAlignment="1">
      <alignment horizontal="center" vertical="center"/>
    </xf>
    <xf numFmtId="199" fontId="28" fillId="0" borderId="0" xfId="11" applyNumberFormat="1" applyFont="1" applyBorder="1" applyAlignment="1">
      <alignment horizontal="center" vertical="center"/>
    </xf>
    <xf numFmtId="200" fontId="28" fillId="0" borderId="0" xfId="11" applyNumberFormat="1" applyFont="1" applyBorder="1" applyAlignment="1">
      <alignment horizontal="center" vertical="center"/>
    </xf>
    <xf numFmtId="201" fontId="28" fillId="0" borderId="31" xfId="11" applyNumberFormat="1" applyFont="1" applyBorder="1" applyAlignment="1">
      <alignment horizontal="center" vertical="center"/>
    </xf>
    <xf numFmtId="201" fontId="28" fillId="0" borderId="0" xfId="11" applyNumberFormat="1" applyFont="1" applyFill="1" applyBorder="1" applyAlignment="1">
      <alignment horizontal="center" vertical="center"/>
    </xf>
    <xf numFmtId="201" fontId="28" fillId="0" borderId="0" xfId="11" applyNumberFormat="1" applyFont="1" applyBorder="1" applyAlignment="1">
      <alignment horizontal="center" vertical="center"/>
    </xf>
    <xf numFmtId="0" fontId="28" fillId="0" borderId="16" xfId="15" applyNumberFormat="1" applyFont="1" applyBorder="1" applyAlignment="1">
      <alignment horizontal="center" vertical="center"/>
    </xf>
    <xf numFmtId="201" fontId="28" fillId="0" borderId="23" xfId="15" applyNumberFormat="1" applyFont="1" applyBorder="1" applyAlignment="1">
      <alignment horizontal="center" vertical="center"/>
    </xf>
    <xf numFmtId="201" fontId="28" fillId="0" borderId="23" xfId="11" applyNumberFormat="1" applyFont="1" applyBorder="1" applyAlignment="1">
      <alignment horizontal="center" vertical="center"/>
    </xf>
    <xf numFmtId="198" fontId="28" fillId="0" borderId="23" xfId="15" applyNumberFormat="1" applyFont="1" applyBorder="1" applyAlignment="1">
      <alignment horizontal="center" vertical="center"/>
    </xf>
    <xf numFmtId="0" fontId="28" fillId="0" borderId="31" xfId="15" applyNumberFormat="1" applyFont="1" applyBorder="1" applyAlignment="1">
      <alignment horizontal="center" vertical="center"/>
    </xf>
    <xf numFmtId="0" fontId="28" fillId="0" borderId="0" xfId="15" applyNumberFormat="1" applyFont="1" applyBorder="1" applyAlignment="1">
      <alignment horizontal="center" vertical="center"/>
    </xf>
    <xf numFmtId="198" fontId="29" fillId="0" borderId="0" xfId="15" applyNumberFormat="1" applyFont="1" applyBorder="1" applyAlignment="1">
      <alignment horizontal="center" vertical="center" shrinkToFit="1"/>
    </xf>
    <xf numFmtId="197" fontId="28" fillId="0" borderId="16" xfId="11" applyNumberFormat="1" applyFont="1" applyBorder="1" applyAlignment="1">
      <alignment vertical="center"/>
    </xf>
    <xf numFmtId="204" fontId="28" fillId="0" borderId="0" xfId="11" applyNumberFormat="1" applyFont="1" applyBorder="1" applyAlignment="1">
      <alignment horizontal="center" vertical="center"/>
    </xf>
    <xf numFmtId="38" fontId="28" fillId="0" borderId="33" xfId="11" applyFont="1" applyBorder="1" applyAlignment="1">
      <alignment horizontal="center" vertical="center"/>
    </xf>
    <xf numFmtId="204" fontId="28" fillId="0" borderId="33" xfId="11" applyNumberFormat="1" applyFont="1" applyBorder="1" applyAlignment="1">
      <alignment horizontal="center" vertical="center"/>
    </xf>
    <xf numFmtId="0" fontId="28" fillId="0" borderId="33" xfId="15" applyNumberFormat="1" applyFont="1" applyBorder="1" applyAlignment="1">
      <alignment horizontal="center" vertical="center"/>
    </xf>
    <xf numFmtId="200" fontId="28" fillId="0" borderId="31" xfId="11" applyNumberFormat="1" applyFont="1" applyBorder="1" applyAlignment="1">
      <alignment vertical="center"/>
    </xf>
    <xf numFmtId="197" fontId="28" fillId="0" borderId="31" xfId="11" applyNumberFormat="1" applyFont="1" applyBorder="1" applyAlignment="1">
      <alignment vertical="center"/>
    </xf>
    <xf numFmtId="204" fontId="28" fillId="0" borderId="0" xfId="15" applyNumberFormat="1" applyFont="1" applyBorder="1" applyAlignment="1">
      <alignment horizontal="center" vertical="center"/>
    </xf>
    <xf numFmtId="0" fontId="28" fillId="0" borderId="0" xfId="15" applyNumberFormat="1" applyFont="1" applyBorder="1" applyAlignment="1">
      <alignment vertical="center"/>
    </xf>
    <xf numFmtId="0" fontId="28" fillId="0" borderId="17" xfId="15" applyNumberFormat="1" applyFont="1" applyBorder="1" applyAlignment="1">
      <alignment vertical="center"/>
    </xf>
    <xf numFmtId="198" fontId="29" fillId="0" borderId="0" xfId="11" applyNumberFormat="1" applyFont="1" applyBorder="1" applyAlignment="1">
      <alignment horizontal="center" vertical="center"/>
    </xf>
    <xf numFmtId="0" fontId="28" fillId="0" borderId="20" xfId="15" applyNumberFormat="1" applyFont="1" applyBorder="1" applyAlignment="1">
      <alignment vertical="center"/>
    </xf>
    <xf numFmtId="0" fontId="28" fillId="0" borderId="20" xfId="15" applyNumberFormat="1" applyFont="1" applyBorder="1" applyAlignment="1">
      <alignment horizontal="center" vertical="center"/>
    </xf>
    <xf numFmtId="0" fontId="28" fillId="0" borderId="19" xfId="15" applyNumberFormat="1" applyFont="1" applyBorder="1" applyAlignment="1">
      <alignment vertical="center"/>
    </xf>
    <xf numFmtId="0" fontId="28" fillId="0" borderId="0" xfId="15" applyFont="1" applyBorder="1" applyAlignment="1">
      <alignment horizontal="center" vertical="center" shrinkToFit="1"/>
    </xf>
    <xf numFmtId="202" fontId="28" fillId="0" borderId="31" xfId="11" applyNumberFormat="1" applyFont="1" applyBorder="1" applyAlignment="1">
      <alignment horizontal="center" vertical="center"/>
    </xf>
    <xf numFmtId="237" fontId="28" fillId="0" borderId="0" xfId="11" applyNumberFormat="1" applyFont="1" applyBorder="1" applyAlignment="1">
      <alignment horizontal="center" vertical="center"/>
    </xf>
    <xf numFmtId="202" fontId="28" fillId="0" borderId="0" xfId="11" applyNumberFormat="1" applyFont="1" applyBorder="1" applyAlignment="1">
      <alignment horizontal="center" vertical="center"/>
    </xf>
    <xf numFmtId="202" fontId="28" fillId="0" borderId="33" xfId="11" applyNumberFormat="1" applyFont="1" applyBorder="1" applyAlignment="1">
      <alignment horizontal="center" vertical="center"/>
    </xf>
    <xf numFmtId="198" fontId="29" fillId="0" borderId="33" xfId="11" applyNumberFormat="1" applyFont="1" applyBorder="1" applyAlignment="1">
      <alignment horizontal="center" vertical="center"/>
    </xf>
    <xf numFmtId="181" fontId="28" fillId="0" borderId="0" xfId="11" applyNumberFormat="1" applyFont="1" applyBorder="1" applyAlignment="1">
      <alignment horizontal="center" vertical="center" shrinkToFit="1"/>
    </xf>
    <xf numFmtId="0" fontId="26" fillId="0" borderId="0" xfId="17" applyFont="1" applyAlignment="1">
      <alignment vertical="center"/>
    </xf>
    <xf numFmtId="0" fontId="9" fillId="0" borderId="0" xfId="17" applyFont="1" applyAlignment="1">
      <alignment vertical="center"/>
    </xf>
    <xf numFmtId="0" fontId="28" fillId="0" borderId="0" xfId="17" applyFont="1" applyAlignment="1">
      <alignment vertical="center"/>
    </xf>
    <xf numFmtId="0" fontId="28" fillId="0" borderId="5" xfId="17" applyFont="1" applyBorder="1" applyAlignment="1">
      <alignment horizontal="center" vertical="center"/>
    </xf>
    <xf numFmtId="0" fontId="28" fillId="0" borderId="5" xfId="17" applyFont="1" applyBorder="1" applyAlignment="1">
      <alignment horizontal="center" vertical="center" shrinkToFit="1"/>
    </xf>
    <xf numFmtId="0" fontId="28" fillId="0" borderId="5" xfId="17" applyFont="1" applyBorder="1" applyAlignment="1">
      <alignment horizontal="distributed" vertical="center" indent="1" shrinkToFit="1"/>
    </xf>
    <xf numFmtId="38" fontId="28" fillId="0" borderId="5" xfId="11" applyFont="1" applyBorder="1" applyAlignment="1">
      <alignment horizontal="right" vertical="center" shrinkToFit="1"/>
    </xf>
    <xf numFmtId="38" fontId="28" fillId="0" borderId="5" xfId="11" applyFont="1" applyBorder="1" applyAlignment="1">
      <alignment horizontal="right" vertical="center"/>
    </xf>
    <xf numFmtId="38" fontId="28" fillId="0" borderId="5" xfId="11" applyFont="1" applyBorder="1" applyAlignment="1">
      <alignment vertical="center" shrinkToFit="1"/>
    </xf>
    <xf numFmtId="38" fontId="28" fillId="0" borderId="5" xfId="11" applyFont="1" applyFill="1" applyBorder="1" applyAlignment="1">
      <alignment vertical="center"/>
    </xf>
    <xf numFmtId="38" fontId="28" fillId="0" borderId="3" xfId="11" applyFont="1" applyFill="1" applyBorder="1" applyAlignment="1">
      <alignment vertical="center"/>
    </xf>
    <xf numFmtId="38" fontId="28" fillId="3" borderId="5" xfId="11" applyFont="1" applyFill="1" applyBorder="1" applyAlignment="1">
      <alignment vertical="center" shrinkToFit="1"/>
    </xf>
    <xf numFmtId="0" fontId="28" fillId="4" borderId="5" xfId="17" applyFont="1" applyFill="1" applyBorder="1" applyAlignment="1">
      <alignment horizontal="distributed" vertical="center" indent="1" shrinkToFit="1"/>
    </xf>
    <xf numFmtId="38" fontId="28" fillId="4" borderId="5" xfId="11" applyFont="1" applyFill="1" applyBorder="1" applyAlignment="1">
      <alignment vertical="center" shrinkToFit="1"/>
    </xf>
    <xf numFmtId="198" fontId="28" fillId="0" borderId="0" xfId="17" applyNumberFormat="1" applyFont="1" applyAlignment="1">
      <alignment vertical="center"/>
    </xf>
    <xf numFmtId="0" fontId="28" fillId="0" borderId="5" xfId="17" applyFont="1" applyBorder="1" applyAlignment="1">
      <alignment vertical="center" shrinkToFit="1"/>
    </xf>
    <xf numFmtId="38" fontId="28" fillId="0" borderId="5" xfId="11" applyFont="1" applyBorder="1" applyAlignment="1">
      <alignment vertical="center"/>
    </xf>
    <xf numFmtId="0" fontId="9" fillId="0" borderId="0" xfId="17" applyFont="1" applyBorder="1" applyAlignment="1">
      <alignment vertical="center" shrinkToFit="1"/>
    </xf>
    <xf numFmtId="38" fontId="9" fillId="0" borderId="0" xfId="11" applyFont="1" applyBorder="1" applyAlignment="1">
      <alignment vertical="center" shrinkToFit="1"/>
    </xf>
    <xf numFmtId="0" fontId="26" fillId="0" borderId="0" xfId="17" applyFont="1" applyBorder="1" applyAlignment="1">
      <alignment vertical="center"/>
    </xf>
    <xf numFmtId="38" fontId="28" fillId="0" borderId="5" xfId="11" applyFont="1" applyBorder="1" applyAlignment="1">
      <alignment horizontal="center" vertical="center" shrinkToFit="1"/>
    </xf>
    <xf numFmtId="237" fontId="28" fillId="0" borderId="0" xfId="17" applyNumberFormat="1" applyFont="1" applyAlignment="1">
      <alignment vertical="center"/>
    </xf>
    <xf numFmtId="0" fontId="9" fillId="0" borderId="0" xfId="14" applyFont="1" applyAlignment="1">
      <alignment vertical="center"/>
    </xf>
    <xf numFmtId="0" fontId="26" fillId="0" borderId="0" xfId="14" applyFont="1" applyAlignment="1"/>
    <xf numFmtId="0" fontId="26" fillId="0" borderId="20" xfId="14" applyFont="1" applyBorder="1" applyAlignment="1"/>
    <xf numFmtId="236" fontId="9" fillId="0" borderId="2" xfId="0" applyNumberFormat="1" applyFont="1" applyBorder="1" applyAlignment="1">
      <alignment vertical="center"/>
    </xf>
    <xf numFmtId="236" fontId="9" fillId="0" borderId="21" xfId="0" applyNumberFormat="1" applyFont="1" applyBorder="1" applyAlignment="1">
      <alignment vertical="center"/>
    </xf>
    <xf numFmtId="0" fontId="9" fillId="0" borderId="12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top"/>
    </xf>
    <xf numFmtId="0" fontId="9" fillId="0" borderId="32" xfId="0" applyFont="1" applyBorder="1" applyAlignment="1">
      <alignment horizontal="center" vertical="center" shrinkToFit="1"/>
    </xf>
    <xf numFmtId="194" fontId="28" fillId="0" borderId="32" xfId="0" applyNumberFormat="1" applyFont="1" applyBorder="1" applyAlignment="1">
      <alignment horizontal="distributed" vertical="center" justifyLastLine="1" shrinkToFit="1"/>
    </xf>
    <xf numFmtId="0" fontId="9" fillId="0" borderId="15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distributed" vertical="center" shrinkToFit="1"/>
    </xf>
    <xf numFmtId="179" fontId="9" fillId="0" borderId="5" xfId="0" applyNumberFormat="1" applyFont="1" applyBorder="1" applyAlignment="1">
      <alignment horizontal="center" vertical="center" shrinkToFit="1"/>
    </xf>
    <xf numFmtId="193" fontId="9" fillId="0" borderId="2" xfId="0" applyNumberFormat="1" applyFont="1" applyBorder="1" applyAlignment="1">
      <alignment horizontal="center" vertical="center" shrinkToFit="1"/>
    </xf>
    <xf numFmtId="181" fontId="9" fillId="0" borderId="2" xfId="0" applyNumberFormat="1" applyFont="1" applyBorder="1" applyAlignment="1">
      <alignment horizontal="center" vertical="center" shrinkToFit="1"/>
    </xf>
    <xf numFmtId="196" fontId="9" fillId="0" borderId="2" xfId="0" applyNumberFormat="1" applyFont="1" applyBorder="1" applyAlignment="1">
      <alignment horizontal="center" vertical="center" shrinkToFit="1"/>
    </xf>
    <xf numFmtId="178" fontId="9" fillId="0" borderId="2" xfId="0" applyNumberFormat="1" applyFont="1" applyBorder="1" applyAlignment="1">
      <alignment horizontal="center" vertical="center" shrinkToFit="1"/>
    </xf>
    <xf numFmtId="182" fontId="9" fillId="0" borderId="2" xfId="0" applyNumberFormat="1" applyFont="1" applyBorder="1" applyAlignment="1">
      <alignment horizontal="center" vertical="center" shrinkToFit="1"/>
    </xf>
    <xf numFmtId="179" fontId="9" fillId="0" borderId="21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distributed" shrinkToFit="1"/>
    </xf>
    <xf numFmtId="180" fontId="18" fillId="0" borderId="2" xfId="0" applyNumberFormat="1" applyFont="1" applyBorder="1" applyAlignment="1">
      <alignment horizontal="center" vertical="distributed" shrinkToFit="1"/>
    </xf>
    <xf numFmtId="179" fontId="18" fillId="0" borderId="2" xfId="0" applyNumberFormat="1" applyFont="1" applyBorder="1" applyAlignment="1">
      <alignment horizontal="center" vertical="center" shrinkToFit="1"/>
    </xf>
    <xf numFmtId="179" fontId="9" fillId="0" borderId="2" xfId="0" applyNumberFormat="1" applyFont="1" applyBorder="1" applyAlignment="1">
      <alignment horizontal="center" vertical="center" shrinkToFit="1"/>
    </xf>
    <xf numFmtId="208" fontId="9" fillId="0" borderId="2" xfId="0" applyNumberFormat="1" applyFont="1" applyBorder="1" applyAlignment="1">
      <alignment horizontal="center" vertical="center" shrinkToFit="1"/>
    </xf>
    <xf numFmtId="207" fontId="9" fillId="0" borderId="2" xfId="0" applyNumberFormat="1" applyFont="1" applyBorder="1" applyAlignment="1">
      <alignment horizontal="center" vertical="center" shrinkToFit="1"/>
    </xf>
    <xf numFmtId="198" fontId="9" fillId="0" borderId="2" xfId="0" applyNumberFormat="1" applyFont="1" applyBorder="1" applyAlignment="1">
      <alignment horizontal="center" vertical="center" shrinkToFit="1"/>
    </xf>
    <xf numFmtId="179" fontId="9" fillId="0" borderId="5" xfId="11" applyNumberFormat="1" applyFont="1" applyBorder="1" applyAlignment="1">
      <alignment horizontal="center" vertical="center" shrinkToFit="1"/>
    </xf>
    <xf numFmtId="186" fontId="18" fillId="0" borderId="2" xfId="11" applyNumberFormat="1" applyFont="1" applyBorder="1" applyAlignment="1">
      <alignment horizontal="center" vertical="center" shrinkToFit="1"/>
    </xf>
    <xf numFmtId="186" fontId="9" fillId="0" borderId="5" xfId="0" applyNumberFormat="1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Continuous" vertical="center"/>
    </xf>
    <xf numFmtId="0" fontId="9" fillId="0" borderId="14" xfId="0" applyFont="1" applyBorder="1" applyAlignment="1">
      <alignment horizontal="centerContinuous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4" xfId="0" applyFont="1" applyBorder="1" applyAlignment="1">
      <alignment vertical="center" wrapText="1"/>
    </xf>
    <xf numFmtId="0" fontId="9" fillId="0" borderId="13" xfId="0" applyFont="1" applyFill="1" applyBorder="1" applyAlignment="1">
      <alignment horizontal="center" vertical="top"/>
    </xf>
    <xf numFmtId="0" fontId="9" fillId="0" borderId="13" xfId="0" applyFont="1" applyBorder="1" applyAlignment="1">
      <alignment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28" fillId="0" borderId="0" xfId="0" applyFont="1" applyFill="1" applyBorder="1" applyAlignment="1">
      <alignment horizontal="left" vertical="center"/>
    </xf>
    <xf numFmtId="246" fontId="9" fillId="0" borderId="0" xfId="0" applyNumberFormat="1" applyFont="1" applyBorder="1" applyAlignment="1">
      <alignment horizontal="center" vertical="center"/>
    </xf>
    <xf numFmtId="247" fontId="9" fillId="0" borderId="0" xfId="0" applyNumberFormat="1" applyFont="1" applyBorder="1" applyAlignment="1">
      <alignment vertical="center"/>
    </xf>
    <xf numFmtId="200" fontId="9" fillId="0" borderId="0" xfId="0" applyNumberFormat="1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 indent="1"/>
    </xf>
    <xf numFmtId="0" fontId="9" fillId="0" borderId="0" xfId="0" applyFont="1" applyBorder="1" applyAlignment="1">
      <alignment horizontal="distributed" vertical="center"/>
    </xf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wrapText="1" shrinkToFit="1"/>
    </xf>
    <xf numFmtId="0" fontId="9" fillId="0" borderId="34" xfId="0" applyFont="1" applyBorder="1" applyAlignment="1">
      <alignment horizontal="left" vertical="center" indent="1"/>
    </xf>
    <xf numFmtId="49" fontId="9" fillId="0" borderId="0" xfId="0" applyNumberFormat="1" applyFont="1" applyBorder="1" applyAlignment="1">
      <alignment vertical="center" wrapText="1"/>
    </xf>
    <xf numFmtId="0" fontId="9" fillId="0" borderId="35" xfId="0" applyFont="1" applyBorder="1" applyAlignment="1">
      <alignment horizontal="left" vertical="center" indent="1"/>
    </xf>
    <xf numFmtId="0" fontId="9" fillId="0" borderId="36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37" xfId="0" applyFont="1" applyBorder="1" applyAlignment="1">
      <alignment horizontal="left" vertical="center" indent="1"/>
    </xf>
    <xf numFmtId="0" fontId="9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left" vertical="center" indent="1"/>
    </xf>
    <xf numFmtId="250" fontId="9" fillId="0" borderId="14" xfId="0" applyNumberFormat="1" applyFont="1" applyBorder="1" applyAlignment="1">
      <alignment horizontal="right" vertical="center"/>
    </xf>
    <xf numFmtId="49" fontId="9" fillId="0" borderId="0" xfId="0" applyNumberFormat="1" applyFont="1" applyBorder="1" applyAlignment="1">
      <alignment vertical="center"/>
    </xf>
    <xf numFmtId="250" fontId="9" fillId="0" borderId="0" xfId="0" applyNumberFormat="1" applyFont="1" applyBorder="1" applyAlignment="1">
      <alignment vertical="center"/>
    </xf>
    <xf numFmtId="250" fontId="9" fillId="0" borderId="0" xfId="0" applyNumberFormat="1" applyFont="1" applyBorder="1" applyAlignment="1">
      <alignment horizontal="right" vertical="center"/>
    </xf>
    <xf numFmtId="0" fontId="28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179" fontId="9" fillId="0" borderId="0" xfId="11" applyNumberFormat="1" applyFont="1" applyBorder="1" applyAlignment="1">
      <alignment vertical="center"/>
    </xf>
    <xf numFmtId="190" fontId="9" fillId="0" borderId="0" xfId="11" applyNumberFormat="1" applyFont="1" applyBorder="1" applyAlignment="1">
      <alignment vertical="center"/>
    </xf>
    <xf numFmtId="190" fontId="9" fillId="0" borderId="14" xfId="11" applyNumberFormat="1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3" xfId="0" applyFont="1" applyFill="1" applyBorder="1" applyAlignment="1">
      <alignment horizontal="center" vertical="center"/>
    </xf>
    <xf numFmtId="42" fontId="9" fillId="0" borderId="23" xfId="0" applyNumberFormat="1" applyFont="1" applyBorder="1" applyAlignment="1">
      <alignment vertical="center"/>
    </xf>
    <xf numFmtId="190" fontId="9" fillId="0" borderId="23" xfId="0" applyNumberFormat="1" applyFont="1" applyBorder="1" applyAlignment="1">
      <alignment vertical="center"/>
    </xf>
    <xf numFmtId="190" fontId="9" fillId="0" borderId="24" xfId="0" applyNumberFormat="1" applyFont="1" applyBorder="1" applyAlignment="1">
      <alignment vertical="center"/>
    </xf>
    <xf numFmtId="0" fontId="28" fillId="0" borderId="12" xfId="0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8" fillId="0" borderId="13" xfId="0" applyFont="1" applyBorder="1" applyAlignment="1">
      <alignment vertical="center"/>
    </xf>
    <xf numFmtId="0" fontId="9" fillId="0" borderId="5" xfId="0" applyFont="1" applyBorder="1" applyAlignment="1">
      <alignment horizontal="center" vertical="center" wrapText="1" shrinkToFit="1"/>
    </xf>
    <xf numFmtId="0" fontId="9" fillId="0" borderId="5" xfId="0" applyFont="1" applyBorder="1" applyAlignment="1">
      <alignment vertical="center" shrinkToFit="1"/>
    </xf>
    <xf numFmtId="0" fontId="9" fillId="0" borderId="13" xfId="0" applyFont="1" applyBorder="1" applyAlignment="1">
      <alignment vertical="top" wrapText="1"/>
    </xf>
    <xf numFmtId="235" fontId="28" fillId="0" borderId="5" xfId="0" applyNumberFormat="1" applyFont="1" applyBorder="1" applyAlignment="1">
      <alignment vertical="center"/>
    </xf>
    <xf numFmtId="0" fontId="9" fillId="0" borderId="13" xfId="0" applyFont="1" applyBorder="1" applyAlignment="1"/>
    <xf numFmtId="235" fontId="28" fillId="0" borderId="5" xfId="11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28" fillId="0" borderId="22" xfId="0" applyFont="1" applyBorder="1" applyAlignment="1">
      <alignment vertical="center"/>
    </xf>
    <xf numFmtId="0" fontId="9" fillId="0" borderId="22" xfId="0" applyFont="1" applyBorder="1" applyAlignment="1"/>
    <xf numFmtId="0" fontId="28" fillId="0" borderId="13" xfId="0" applyFont="1" applyBorder="1" applyAlignment="1">
      <alignment horizontal="center" vertical="top" wrapText="1"/>
    </xf>
    <xf numFmtId="0" fontId="28" fillId="0" borderId="13" xfId="0" applyFont="1" applyBorder="1" applyAlignment="1">
      <alignment vertical="top" wrapText="1"/>
    </xf>
    <xf numFmtId="235" fontId="28" fillId="0" borderId="21" xfId="0" applyNumberFormat="1" applyFont="1" applyBorder="1" applyAlignment="1">
      <alignment vertical="center"/>
    </xf>
    <xf numFmtId="0" fontId="9" fillId="0" borderId="19" xfId="0" applyFont="1" applyBorder="1" applyAlignment="1">
      <alignment horizontal="center" vertical="center" shrinkToFit="1"/>
    </xf>
    <xf numFmtId="235" fontId="28" fillId="0" borderId="19" xfId="0" applyNumberFormat="1" applyFont="1" applyBorder="1" applyAlignment="1">
      <alignment vertical="center"/>
    </xf>
    <xf numFmtId="235" fontId="28" fillId="0" borderId="5" xfId="11" applyNumberFormat="1" applyFont="1" applyFill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29" fillId="0" borderId="0" xfId="0" applyFont="1" applyFill="1" applyBorder="1" applyAlignment="1">
      <alignment horizontal="left" vertical="center"/>
    </xf>
    <xf numFmtId="0" fontId="23" fillId="0" borderId="12" xfId="0" applyFont="1" applyBorder="1" applyAlignment="1">
      <alignment horizontal="center" vertical="center" wrapText="1"/>
    </xf>
    <xf numFmtId="49" fontId="21" fillId="0" borderId="0" xfId="0" applyNumberFormat="1" applyFont="1" applyAlignment="1">
      <alignment vertical="center" shrinkToFit="1"/>
    </xf>
    <xf numFmtId="0" fontId="34" fillId="0" borderId="5" xfId="17" applyFont="1" applyBorder="1" applyAlignment="1">
      <alignment horizontal="center" vertical="center" shrinkToFit="1"/>
    </xf>
    <xf numFmtId="0" fontId="35" fillId="0" borderId="5" xfId="12" applyFont="1" applyFill="1" applyBorder="1" applyAlignment="1">
      <alignment horizontal="center" vertical="center" shrinkToFit="1"/>
    </xf>
    <xf numFmtId="49" fontId="22" fillId="0" borderId="0" xfId="0" applyNumberFormat="1" applyFont="1" applyAlignment="1">
      <alignment horizontal="distributed" vertical="center"/>
    </xf>
    <xf numFmtId="0" fontId="22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49" fontId="22" fillId="0" borderId="10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/>
    </xf>
    <xf numFmtId="49" fontId="22" fillId="0" borderId="21" xfId="0" applyNumberFormat="1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8" fillId="0" borderId="5" xfId="0" applyFont="1" applyBorder="1" applyAlignment="1">
      <alignment horizontal="distributed" vertical="center" indent="1"/>
    </xf>
    <xf numFmtId="0" fontId="28" fillId="0" borderId="5" xfId="0" applyFont="1" applyFill="1" applyBorder="1" applyAlignment="1">
      <alignment horizontal="center" vertical="center"/>
    </xf>
    <xf numFmtId="177" fontId="23" fillId="0" borderId="10" xfId="0" applyNumberFormat="1" applyFont="1" applyBorder="1" applyAlignment="1">
      <alignment horizontal="right" vertical="center"/>
    </xf>
    <xf numFmtId="177" fontId="23" fillId="0" borderId="21" xfId="0" applyNumberFormat="1" applyFont="1" applyBorder="1" applyAlignment="1">
      <alignment horizontal="right" vertical="center"/>
    </xf>
    <xf numFmtId="190" fontId="23" fillId="0" borderId="10" xfId="11" applyNumberFormat="1" applyFont="1" applyBorder="1" applyAlignment="1">
      <alignment vertical="center"/>
    </xf>
    <xf numFmtId="190" fontId="23" fillId="0" borderId="2" xfId="11" applyNumberFormat="1" applyFont="1" applyBorder="1" applyAlignment="1">
      <alignment vertical="center"/>
    </xf>
    <xf numFmtId="190" fontId="23" fillId="0" borderId="21" xfId="11" applyNumberFormat="1" applyFont="1" applyBorder="1" applyAlignment="1">
      <alignment vertical="center"/>
    </xf>
    <xf numFmtId="177" fontId="23" fillId="0" borderId="10" xfId="0" applyNumberFormat="1" applyFont="1" applyBorder="1" applyAlignment="1">
      <alignment vertical="center"/>
    </xf>
    <xf numFmtId="177" fontId="23" fillId="0" borderId="21" xfId="0" applyNumberFormat="1" applyFont="1" applyBorder="1" applyAlignment="1">
      <alignment vertical="center"/>
    </xf>
    <xf numFmtId="0" fontId="23" fillId="0" borderId="13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10" xfId="0" applyFont="1" applyBorder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0" fontId="23" fillId="0" borderId="21" xfId="0" applyFont="1" applyBorder="1" applyAlignment="1">
      <alignment horizontal="left" vertical="center"/>
    </xf>
    <xf numFmtId="190" fontId="23" fillId="0" borderId="10" xfId="0" applyNumberFormat="1" applyFont="1" applyBorder="1" applyAlignment="1">
      <alignment vertical="center"/>
    </xf>
    <xf numFmtId="190" fontId="23" fillId="0" borderId="21" xfId="0" applyNumberFormat="1" applyFont="1" applyBorder="1" applyAlignment="1">
      <alignment vertical="center"/>
    </xf>
    <xf numFmtId="0" fontId="29" fillId="0" borderId="26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3" fillId="0" borderId="18" xfId="0" applyFont="1" applyBorder="1" applyAlignment="1">
      <alignment vertical="center"/>
    </xf>
    <xf numFmtId="0" fontId="23" fillId="0" borderId="20" xfId="0" applyFont="1" applyBorder="1" applyAlignment="1">
      <alignment vertical="center"/>
    </xf>
    <xf numFmtId="0" fontId="23" fillId="0" borderId="19" xfId="0" applyFont="1" applyBorder="1" applyAlignment="1">
      <alignment vertical="center"/>
    </xf>
    <xf numFmtId="191" fontId="9" fillId="0" borderId="10" xfId="0" applyNumberFormat="1" applyFont="1" applyFill="1" applyBorder="1" applyAlignment="1">
      <alignment horizontal="left" vertical="center" shrinkToFit="1"/>
    </xf>
    <xf numFmtId="191" fontId="9" fillId="0" borderId="2" xfId="0" applyNumberFormat="1" applyFont="1" applyFill="1" applyBorder="1" applyAlignment="1">
      <alignment horizontal="left" vertical="center" shrinkToFit="1"/>
    </xf>
    <xf numFmtId="191" fontId="9" fillId="0" borderId="21" xfId="0" applyNumberFormat="1" applyFont="1" applyFill="1" applyBorder="1" applyAlignment="1">
      <alignment horizontal="left" vertical="center" shrinkToFit="1"/>
    </xf>
    <xf numFmtId="0" fontId="9" fillId="0" borderId="10" xfId="0" applyFont="1" applyFill="1" applyBorder="1" applyAlignment="1">
      <alignment horizontal="left" vertical="center" shrinkToFit="1"/>
    </xf>
    <xf numFmtId="0" fontId="9" fillId="0" borderId="2" xfId="0" applyFont="1" applyFill="1" applyBorder="1" applyAlignment="1">
      <alignment horizontal="left" vertical="center" shrinkToFit="1"/>
    </xf>
    <xf numFmtId="0" fontId="9" fillId="0" borderId="21" xfId="0" applyFont="1" applyFill="1" applyBorder="1" applyAlignment="1">
      <alignment horizontal="left" vertical="center" shrinkToFit="1"/>
    </xf>
    <xf numFmtId="0" fontId="23" fillId="0" borderId="28" xfId="0" applyFont="1" applyBorder="1" applyAlignment="1">
      <alignment horizontal="right" vertical="center"/>
    </xf>
    <xf numFmtId="0" fontId="23" fillId="0" borderId="32" xfId="0" applyFont="1" applyBorder="1" applyAlignment="1">
      <alignment horizontal="right" vertical="center"/>
    </xf>
    <xf numFmtId="0" fontId="23" fillId="0" borderId="15" xfId="0" applyFont="1" applyBorder="1" applyAlignment="1">
      <alignment horizontal="right" vertical="center"/>
    </xf>
    <xf numFmtId="191" fontId="9" fillId="0" borderId="10" xfId="0" applyNumberFormat="1" applyFont="1" applyFill="1" applyBorder="1" applyAlignment="1">
      <alignment horizontal="center" vertical="center" shrinkToFit="1"/>
    </xf>
    <xf numFmtId="191" fontId="9" fillId="0" borderId="2" xfId="0" applyNumberFormat="1" applyFont="1" applyFill="1" applyBorder="1" applyAlignment="1">
      <alignment horizontal="center" vertical="center" shrinkToFit="1"/>
    </xf>
    <xf numFmtId="191" fontId="9" fillId="0" borderId="21" xfId="0" applyNumberFormat="1" applyFont="1" applyFill="1" applyBorder="1" applyAlignment="1">
      <alignment horizontal="center" vertical="center" shrinkToFit="1"/>
    </xf>
    <xf numFmtId="49" fontId="9" fillId="0" borderId="10" xfId="0" applyNumberFormat="1" applyFont="1" applyBorder="1" applyAlignment="1">
      <alignment horizontal="left" vertical="center" shrinkToFit="1"/>
    </xf>
    <xf numFmtId="49" fontId="9" fillId="0" borderId="2" xfId="0" applyNumberFormat="1" applyFont="1" applyBorder="1" applyAlignment="1">
      <alignment horizontal="left" vertical="center" shrinkToFit="1"/>
    </xf>
    <xf numFmtId="49" fontId="9" fillId="0" borderId="21" xfId="0" applyNumberFormat="1" applyFont="1" applyBorder="1" applyAlignment="1">
      <alignment horizontal="left" vertical="center" shrinkToFi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0" fontId="23" fillId="0" borderId="28" xfId="0" applyFont="1" applyBorder="1" applyAlignment="1">
      <alignment horizontal="left" vertical="center" wrapText="1"/>
    </xf>
    <xf numFmtId="0" fontId="23" fillId="0" borderId="32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right" vertical="center"/>
    </xf>
    <xf numFmtId="191" fontId="23" fillId="0" borderId="10" xfId="11" applyNumberFormat="1" applyFont="1" applyBorder="1" applyAlignment="1">
      <alignment vertical="center"/>
    </xf>
    <xf numFmtId="191" fontId="23" fillId="0" borderId="2" xfId="11" applyNumberFormat="1" applyFont="1" applyBorder="1" applyAlignment="1">
      <alignment vertical="center"/>
    </xf>
    <xf numFmtId="191" fontId="23" fillId="0" borderId="21" xfId="11" applyNumberFormat="1" applyFont="1" applyBorder="1" applyAlignment="1">
      <alignment vertical="center"/>
    </xf>
    <xf numFmtId="185" fontId="23" fillId="0" borderId="10" xfId="11" applyNumberFormat="1" applyFont="1" applyBorder="1" applyAlignment="1">
      <alignment horizontal="center" vertical="center"/>
    </xf>
    <xf numFmtId="185" fontId="23" fillId="0" borderId="2" xfId="11" applyNumberFormat="1" applyFont="1" applyBorder="1" applyAlignment="1">
      <alignment horizontal="center" vertical="center"/>
    </xf>
    <xf numFmtId="185" fontId="23" fillId="0" borderId="21" xfId="11" applyNumberFormat="1" applyFont="1" applyBorder="1" applyAlignment="1">
      <alignment horizontal="center" vertical="center"/>
    </xf>
    <xf numFmtId="187" fontId="23" fillId="0" borderId="10" xfId="0" applyNumberFormat="1" applyFont="1" applyBorder="1" applyAlignment="1">
      <alignment horizontal="center" vertical="center"/>
    </xf>
    <xf numFmtId="187" fontId="23" fillId="0" borderId="2" xfId="0" applyNumberFormat="1" applyFont="1" applyBorder="1" applyAlignment="1">
      <alignment horizontal="center" vertical="center"/>
    </xf>
    <xf numFmtId="187" fontId="23" fillId="0" borderId="21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188" fontId="23" fillId="0" borderId="10" xfId="0" applyNumberFormat="1" applyFont="1" applyBorder="1" applyAlignment="1">
      <alignment horizontal="left" vertical="center"/>
    </xf>
    <xf numFmtId="188" fontId="23" fillId="0" borderId="2" xfId="0" applyNumberFormat="1" applyFont="1" applyBorder="1" applyAlignment="1">
      <alignment horizontal="left" vertical="center"/>
    </xf>
    <xf numFmtId="188" fontId="23" fillId="0" borderId="21" xfId="0" applyNumberFormat="1" applyFont="1" applyBorder="1" applyAlignment="1">
      <alignment horizontal="left" vertical="center"/>
    </xf>
    <xf numFmtId="190" fontId="23" fillId="0" borderId="2" xfId="0" applyNumberFormat="1" applyFont="1" applyBorder="1" applyAlignment="1">
      <alignment vertical="center"/>
    </xf>
    <xf numFmtId="177" fontId="23" fillId="0" borderId="10" xfId="0" applyNumberFormat="1" applyFont="1" applyBorder="1" applyAlignment="1">
      <alignment horizontal="center" vertical="center"/>
    </xf>
    <xf numFmtId="177" fontId="23" fillId="0" borderId="2" xfId="0" applyNumberFormat="1" applyFont="1" applyBorder="1" applyAlignment="1">
      <alignment horizontal="center" vertical="center"/>
    </xf>
    <xf numFmtId="177" fontId="23" fillId="0" borderId="21" xfId="0" applyNumberFormat="1" applyFont="1" applyBorder="1" applyAlignment="1">
      <alignment horizontal="center" vertical="center"/>
    </xf>
    <xf numFmtId="42" fontId="23" fillId="0" borderId="10" xfId="0" applyNumberFormat="1" applyFont="1" applyBorder="1" applyAlignment="1">
      <alignment vertical="center"/>
    </xf>
    <xf numFmtId="42" fontId="23" fillId="0" borderId="21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/>
    </xf>
    <xf numFmtId="184" fontId="23" fillId="0" borderId="10" xfId="0" applyNumberFormat="1" applyFont="1" applyBorder="1" applyAlignment="1">
      <alignment horizontal="center" vertical="center"/>
    </xf>
    <xf numFmtId="184" fontId="23" fillId="0" borderId="2" xfId="0" applyNumberFormat="1" applyFont="1" applyBorder="1" applyAlignment="1">
      <alignment horizontal="center" vertical="center"/>
    </xf>
    <xf numFmtId="184" fontId="23" fillId="0" borderId="21" xfId="0" applyNumberFormat="1" applyFont="1" applyBorder="1" applyAlignment="1">
      <alignment horizontal="center" vertical="center"/>
    </xf>
    <xf numFmtId="179" fontId="23" fillId="0" borderId="10" xfId="11" applyNumberFormat="1" applyFont="1" applyBorder="1" applyAlignment="1">
      <alignment vertical="center"/>
    </xf>
    <xf numFmtId="179" fontId="23" fillId="0" borderId="21" xfId="11" applyNumberFormat="1" applyFont="1" applyBorder="1" applyAlignment="1">
      <alignment vertical="center"/>
    </xf>
    <xf numFmtId="0" fontId="23" fillId="0" borderId="10" xfId="0" applyFont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23" fillId="0" borderId="21" xfId="0" applyFont="1" applyBorder="1" applyAlignment="1">
      <alignment vertical="center"/>
    </xf>
    <xf numFmtId="0" fontId="9" fillId="0" borderId="13" xfId="0" applyFont="1" applyBorder="1" applyAlignment="1">
      <alignment vertical="center" wrapText="1"/>
    </xf>
    <xf numFmtId="189" fontId="33" fillId="0" borderId="10" xfId="0" applyNumberFormat="1" applyFont="1" applyBorder="1" applyAlignment="1">
      <alignment horizontal="center" vertical="center"/>
    </xf>
    <xf numFmtId="189" fontId="33" fillId="0" borderId="2" xfId="0" applyNumberFormat="1" applyFont="1" applyBorder="1" applyAlignment="1">
      <alignment horizontal="center" vertical="center"/>
    </xf>
    <xf numFmtId="189" fontId="33" fillId="0" borderId="21" xfId="0" applyNumberFormat="1" applyFont="1" applyBorder="1" applyAlignment="1">
      <alignment horizontal="center" vertical="center"/>
    </xf>
    <xf numFmtId="251" fontId="33" fillId="0" borderId="10" xfId="0" applyNumberFormat="1" applyFont="1" applyBorder="1" applyAlignment="1">
      <alignment horizontal="center" vertical="center"/>
    </xf>
    <xf numFmtId="251" fontId="33" fillId="0" borderId="2" xfId="0" applyNumberFormat="1" applyFont="1" applyBorder="1" applyAlignment="1">
      <alignment horizontal="center" vertical="center"/>
    </xf>
    <xf numFmtId="251" fontId="33" fillId="0" borderId="21" xfId="0" applyNumberFormat="1" applyFont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23" fillId="0" borderId="13" xfId="0" applyFont="1" applyBorder="1" applyAlignment="1">
      <alignment horizontal="center" vertical="center" wrapText="1" shrinkToFit="1"/>
    </xf>
    <xf numFmtId="0" fontId="23" fillId="0" borderId="28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49" fontId="23" fillId="0" borderId="0" xfId="0" applyNumberFormat="1" applyFont="1" applyBorder="1" applyAlignment="1">
      <alignment horizontal="center" vertical="center"/>
    </xf>
    <xf numFmtId="2" fontId="23" fillId="0" borderId="10" xfId="0" applyNumberFormat="1" applyFont="1" applyBorder="1" applyAlignment="1">
      <alignment horizontal="right" vertical="center"/>
    </xf>
    <xf numFmtId="2" fontId="23" fillId="0" borderId="2" xfId="0" applyNumberFormat="1" applyFont="1" applyBorder="1" applyAlignment="1">
      <alignment horizontal="right" vertical="center"/>
    </xf>
    <xf numFmtId="2" fontId="23" fillId="0" borderId="21" xfId="0" applyNumberFormat="1" applyFont="1" applyBorder="1" applyAlignment="1">
      <alignment horizontal="right" vertical="center"/>
    </xf>
    <xf numFmtId="38" fontId="23" fillId="0" borderId="28" xfId="11" applyFont="1" applyBorder="1" applyAlignment="1">
      <alignment horizontal="right" vertical="center"/>
    </xf>
    <xf numFmtId="38" fontId="23" fillId="0" borderId="32" xfId="11" applyFont="1" applyBorder="1" applyAlignment="1">
      <alignment horizontal="right" vertical="center"/>
    </xf>
    <xf numFmtId="38" fontId="23" fillId="0" borderId="15" xfId="11" applyFont="1" applyBorder="1" applyAlignment="1">
      <alignment horizontal="right" vertical="center"/>
    </xf>
    <xf numFmtId="0" fontId="23" fillId="0" borderId="20" xfId="0" applyFont="1" applyBorder="1" applyAlignment="1">
      <alignment horizontal="right"/>
    </xf>
    <xf numFmtId="189" fontId="23" fillId="0" borderId="10" xfId="0" applyNumberFormat="1" applyFont="1" applyBorder="1" applyAlignment="1">
      <alignment horizontal="center" vertical="center"/>
    </xf>
    <xf numFmtId="189" fontId="23" fillId="0" borderId="2" xfId="0" applyNumberFormat="1" applyFont="1" applyBorder="1" applyAlignment="1">
      <alignment horizontal="center" vertical="center"/>
    </xf>
    <xf numFmtId="189" fontId="23" fillId="0" borderId="21" xfId="0" applyNumberFormat="1" applyFont="1" applyBorder="1" applyAlignment="1">
      <alignment horizontal="center" vertical="center"/>
    </xf>
    <xf numFmtId="189" fontId="23" fillId="0" borderId="10" xfId="0" applyNumberFormat="1" applyFont="1" applyFill="1" applyBorder="1" applyAlignment="1">
      <alignment horizontal="center" vertical="center"/>
    </xf>
    <xf numFmtId="189" fontId="23" fillId="0" borderId="2" xfId="0" applyNumberFormat="1" applyFont="1" applyFill="1" applyBorder="1" applyAlignment="1">
      <alignment horizontal="center" vertical="center"/>
    </xf>
    <xf numFmtId="189" fontId="23" fillId="0" borderId="21" xfId="0" applyNumberFormat="1" applyFont="1" applyFill="1" applyBorder="1" applyAlignment="1">
      <alignment horizontal="center" vertical="center"/>
    </xf>
    <xf numFmtId="2" fontId="23" fillId="0" borderId="28" xfId="0" applyNumberFormat="1" applyFont="1" applyBorder="1" applyAlignment="1">
      <alignment horizontal="right" vertical="center"/>
    </xf>
    <xf numFmtId="2" fontId="23" fillId="0" borderId="32" xfId="0" applyNumberFormat="1" applyFont="1" applyBorder="1" applyAlignment="1">
      <alignment horizontal="right" vertical="center"/>
    </xf>
    <xf numFmtId="2" fontId="23" fillId="0" borderId="15" xfId="0" applyNumberFormat="1" applyFont="1" applyBorder="1" applyAlignment="1">
      <alignment horizontal="right" vertical="center"/>
    </xf>
    <xf numFmtId="38" fontId="23" fillId="0" borderId="28" xfId="11" applyNumberFormat="1" applyFont="1" applyBorder="1" applyAlignment="1">
      <alignment horizontal="right" vertical="center"/>
    </xf>
    <xf numFmtId="38" fontId="23" fillId="0" borderId="32" xfId="11" applyNumberFormat="1" applyFont="1" applyBorder="1" applyAlignment="1">
      <alignment horizontal="right" vertical="center"/>
    </xf>
    <xf numFmtId="38" fontId="23" fillId="0" borderId="15" xfId="11" applyNumberFormat="1" applyFont="1" applyBorder="1" applyAlignment="1">
      <alignment horizontal="right" vertical="center"/>
    </xf>
    <xf numFmtId="38" fontId="23" fillId="0" borderId="10" xfId="11" applyFont="1" applyBorder="1" applyAlignment="1">
      <alignment horizontal="right" vertical="center"/>
    </xf>
    <xf numFmtId="38" fontId="23" fillId="0" borderId="2" xfId="11" applyFont="1" applyBorder="1" applyAlignment="1">
      <alignment horizontal="right" vertical="center"/>
    </xf>
    <xf numFmtId="38" fontId="23" fillId="0" borderId="21" xfId="11" applyFont="1" applyBorder="1" applyAlignment="1">
      <alignment horizontal="right" vertical="center"/>
    </xf>
    <xf numFmtId="40" fontId="23" fillId="0" borderId="28" xfId="11" applyNumberFormat="1" applyFont="1" applyFill="1" applyBorder="1" applyAlignment="1">
      <alignment horizontal="center" vertical="center"/>
    </xf>
    <xf numFmtId="40" fontId="23" fillId="0" borderId="32" xfId="11" applyNumberFormat="1" applyFont="1" applyFill="1" applyBorder="1" applyAlignment="1">
      <alignment horizontal="center" vertical="center"/>
    </xf>
    <xf numFmtId="40" fontId="23" fillId="0" borderId="15" xfId="11" applyNumberFormat="1" applyFont="1" applyFill="1" applyBorder="1" applyAlignment="1">
      <alignment horizontal="center" vertical="center"/>
    </xf>
    <xf numFmtId="176" fontId="23" fillId="0" borderId="28" xfId="0" applyNumberFormat="1" applyFont="1" applyBorder="1" applyAlignment="1">
      <alignment horizontal="center" vertical="center"/>
    </xf>
    <xf numFmtId="176" fontId="23" fillId="0" borderId="32" xfId="0" applyNumberFormat="1" applyFont="1" applyBorder="1" applyAlignment="1">
      <alignment horizontal="center" vertical="center"/>
    </xf>
    <xf numFmtId="176" fontId="23" fillId="0" borderId="15" xfId="0" applyNumberFormat="1" applyFont="1" applyBorder="1" applyAlignment="1">
      <alignment horizontal="center" vertical="center"/>
    </xf>
    <xf numFmtId="2" fontId="23" fillId="0" borderId="28" xfId="0" applyNumberFormat="1" applyFont="1" applyFill="1" applyBorder="1" applyAlignment="1">
      <alignment horizontal="center" vertical="center"/>
    </xf>
    <xf numFmtId="2" fontId="23" fillId="0" borderId="32" xfId="0" applyNumberFormat="1" applyFont="1" applyFill="1" applyBorder="1" applyAlignment="1">
      <alignment horizontal="center" vertical="center"/>
    </xf>
    <xf numFmtId="2" fontId="23" fillId="0" borderId="15" xfId="0" applyNumberFormat="1" applyFont="1" applyFill="1" applyBorder="1" applyAlignment="1">
      <alignment horizontal="center" vertical="center"/>
    </xf>
    <xf numFmtId="40" fontId="23" fillId="0" borderId="10" xfId="11" applyNumberFormat="1" applyFont="1" applyBorder="1" applyAlignment="1">
      <alignment horizontal="right" vertical="center"/>
    </xf>
    <xf numFmtId="40" fontId="23" fillId="0" borderId="2" xfId="11" applyNumberFormat="1" applyFont="1" applyBorder="1" applyAlignment="1">
      <alignment horizontal="right" vertical="center"/>
    </xf>
    <xf numFmtId="40" fontId="23" fillId="0" borderId="21" xfId="11" applyNumberFormat="1" applyFont="1" applyBorder="1" applyAlignment="1">
      <alignment horizontal="right" vertical="center"/>
    </xf>
    <xf numFmtId="2" fontId="23" fillId="0" borderId="10" xfId="0" applyNumberFormat="1" applyFont="1" applyFill="1" applyBorder="1" applyAlignment="1">
      <alignment horizontal="center" vertical="center"/>
    </xf>
    <xf numFmtId="2" fontId="23" fillId="0" borderId="2" xfId="0" applyNumberFormat="1" applyFont="1" applyFill="1" applyBorder="1" applyAlignment="1">
      <alignment horizontal="center" vertical="center"/>
    </xf>
    <xf numFmtId="2" fontId="23" fillId="0" borderId="21" xfId="0" applyNumberFormat="1" applyFont="1" applyFill="1" applyBorder="1" applyAlignment="1">
      <alignment horizontal="center" vertical="center"/>
    </xf>
    <xf numFmtId="0" fontId="23" fillId="0" borderId="10" xfId="0" applyFont="1" applyBorder="1" applyAlignment="1">
      <alignment horizontal="justify" vertical="center" wrapText="1"/>
    </xf>
    <xf numFmtId="0" fontId="23" fillId="0" borderId="2" xfId="0" applyFont="1" applyBorder="1" applyAlignment="1">
      <alignment horizontal="justify" vertical="center" wrapText="1"/>
    </xf>
    <xf numFmtId="0" fontId="23" fillId="0" borderId="21" xfId="0" applyFont="1" applyBorder="1" applyAlignment="1">
      <alignment horizontal="justify" vertical="center" wrapText="1"/>
    </xf>
    <xf numFmtId="176" fontId="23" fillId="0" borderId="10" xfId="0" applyNumberFormat="1" applyFont="1" applyBorder="1" applyAlignment="1">
      <alignment horizontal="center" vertical="center"/>
    </xf>
    <xf numFmtId="176" fontId="23" fillId="0" borderId="2" xfId="0" applyNumberFormat="1" applyFont="1" applyBorder="1" applyAlignment="1">
      <alignment horizontal="center" vertical="center"/>
    </xf>
    <xf numFmtId="176" fontId="23" fillId="0" borderId="21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wrapText="1"/>
    </xf>
    <xf numFmtId="0" fontId="28" fillId="0" borderId="39" xfId="0" applyFont="1" applyBorder="1" applyAlignment="1">
      <alignment horizontal="distributed" vertical="center" indent="15"/>
    </xf>
    <xf numFmtId="0" fontId="28" fillId="0" borderId="40" xfId="0" applyFont="1" applyBorder="1" applyAlignment="1">
      <alignment horizontal="distributed" vertical="center" indent="15"/>
    </xf>
    <xf numFmtId="0" fontId="28" fillId="0" borderId="41" xfId="0" applyFont="1" applyBorder="1" applyAlignment="1">
      <alignment horizontal="distributed" vertical="center" indent="15"/>
    </xf>
    <xf numFmtId="0" fontId="28" fillId="0" borderId="14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23" xfId="0" applyFont="1" applyBorder="1" applyAlignment="1">
      <alignment horizontal="center" vertical="center"/>
    </xf>
    <xf numFmtId="0" fontId="28" fillId="0" borderId="32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distributed" textRotation="255" justifyLastLine="1"/>
    </xf>
    <xf numFmtId="0" fontId="9" fillId="0" borderId="13" xfId="0" applyFont="1" applyBorder="1" applyAlignment="1">
      <alignment horizontal="center" vertical="top" wrapText="1" shrinkToFit="1"/>
    </xf>
    <xf numFmtId="0" fontId="28" fillId="0" borderId="0" xfId="0" applyFont="1" applyBorder="1" applyAlignment="1">
      <alignment horizontal="left"/>
    </xf>
    <xf numFmtId="0" fontId="9" fillId="0" borderId="4" xfId="0" applyFont="1" applyBorder="1" applyAlignment="1">
      <alignment horizontal="center" vertical="distributed" textRotation="255" justifyLastLine="1"/>
    </xf>
    <xf numFmtId="0" fontId="9" fillId="0" borderId="31" xfId="0" applyFont="1" applyBorder="1" applyAlignment="1">
      <alignment horizontal="center" vertical="distributed" textRotation="255" justifyLastLine="1"/>
    </xf>
    <xf numFmtId="0" fontId="9" fillId="0" borderId="3" xfId="0" applyFont="1" applyBorder="1" applyAlignment="1">
      <alignment horizontal="center" vertical="distributed" textRotation="255" justifyLastLine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248" fontId="9" fillId="0" borderId="28" xfId="0" applyNumberFormat="1" applyFont="1" applyFill="1" applyBorder="1" applyAlignment="1">
      <alignment horizontal="right" vertical="center"/>
    </xf>
    <xf numFmtId="248" fontId="9" fillId="0" borderId="18" xfId="0" applyNumberFormat="1" applyFont="1" applyFill="1" applyBorder="1" applyAlignment="1">
      <alignment horizontal="right"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31" xfId="0" applyFont="1" applyFill="1" applyBorder="1" applyAlignment="1">
      <alignment horizontal="left" vertical="center"/>
    </xf>
    <xf numFmtId="0" fontId="9" fillId="0" borderId="48" xfId="0" applyFont="1" applyFill="1" applyBorder="1" applyAlignment="1">
      <alignment horizontal="left" vertical="center"/>
    </xf>
    <xf numFmtId="248" fontId="9" fillId="0" borderId="16" xfId="0" applyNumberFormat="1" applyFont="1" applyFill="1" applyBorder="1" applyAlignment="1">
      <alignment horizontal="right" vertical="center"/>
    </xf>
    <xf numFmtId="248" fontId="9" fillId="0" borderId="52" xfId="0" applyNumberFormat="1" applyFont="1" applyFill="1" applyBorder="1" applyAlignment="1">
      <alignment horizontal="right" vertical="center"/>
    </xf>
    <xf numFmtId="246" fontId="9" fillId="0" borderId="0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44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18" fillId="0" borderId="46" xfId="0" applyFont="1" applyBorder="1" applyAlignment="1">
      <alignment horizontal="center" vertical="center" wrapText="1"/>
    </xf>
    <xf numFmtId="0" fontId="18" fillId="0" borderId="47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49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18" fillId="0" borderId="13" xfId="0" applyFont="1" applyBorder="1" applyAlignment="1">
      <alignment horizontal="center" vertical="center" wrapText="1"/>
    </xf>
    <xf numFmtId="179" fontId="9" fillId="0" borderId="2" xfId="0" applyNumberFormat="1" applyFont="1" applyBorder="1" applyAlignment="1">
      <alignment horizontal="center" vertical="center" shrinkToFit="1"/>
    </xf>
    <xf numFmtId="179" fontId="9" fillId="0" borderId="21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distributed" vertical="center" indent="10" shrinkToFit="1"/>
    </xf>
    <xf numFmtId="0" fontId="9" fillId="0" borderId="25" xfId="0" applyFont="1" applyBorder="1" applyAlignment="1">
      <alignment horizontal="distributed" vertical="center" indent="10" shrinkToFit="1"/>
    </xf>
    <xf numFmtId="0" fontId="9" fillId="0" borderId="10" xfId="0" applyFont="1" applyBorder="1" applyAlignment="1">
      <alignment horizontal="distributed" vertical="center" justifyLastLine="1" shrinkToFit="1"/>
    </xf>
    <xf numFmtId="0" fontId="9" fillId="0" borderId="2" xfId="0" applyFont="1" applyBorder="1" applyAlignment="1">
      <alignment horizontal="distributed" vertical="center" justifyLastLine="1" shrinkToFit="1"/>
    </xf>
    <xf numFmtId="0" fontId="9" fillId="0" borderId="5" xfId="0" applyFont="1" applyBorder="1" applyAlignment="1">
      <alignment horizontal="center" vertical="distributed" textRotation="255" indent="1" shrinkToFit="1"/>
    </xf>
    <xf numFmtId="0" fontId="9" fillId="0" borderId="28" xfId="0" applyFont="1" applyBorder="1" applyAlignment="1">
      <alignment horizontal="center" vertical="center" shrinkToFit="1"/>
    </xf>
    <xf numFmtId="0" fontId="9" fillId="0" borderId="32" xfId="0" applyFont="1" applyBorder="1" applyAlignment="1">
      <alignment horizontal="center" vertical="center" shrinkToFit="1"/>
    </xf>
    <xf numFmtId="195" fontId="28" fillId="0" borderId="32" xfId="0" applyNumberFormat="1" applyFont="1" applyBorder="1" applyAlignment="1">
      <alignment horizontal="distributed" vertical="center" justifyLastLine="1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 shrinkToFit="1"/>
    </xf>
    <xf numFmtId="179" fontId="9" fillId="0" borderId="2" xfId="0" applyNumberFormat="1" applyFont="1" applyBorder="1" applyAlignment="1">
      <alignment horizontal="center" vertical="distributed" shrinkToFit="1"/>
    </xf>
    <xf numFmtId="0" fontId="9" fillId="0" borderId="4" xfId="0" applyFont="1" applyBorder="1" applyAlignment="1">
      <alignment horizontal="center" vertical="distributed" textRotation="255" indent="5" shrinkToFit="1"/>
    </xf>
    <xf numFmtId="0" fontId="9" fillId="0" borderId="31" xfId="0" applyFont="1" applyBorder="1" applyAlignment="1">
      <alignment horizontal="center" vertical="distributed" textRotation="255" indent="5" shrinkToFit="1"/>
    </xf>
    <xf numFmtId="0" fontId="9" fillId="0" borderId="3" xfId="0" applyFont="1" applyBorder="1" applyAlignment="1">
      <alignment horizontal="center" vertical="distributed" textRotation="255" indent="5" shrinkToFit="1"/>
    </xf>
    <xf numFmtId="0" fontId="9" fillId="0" borderId="5" xfId="14" applyFont="1" applyBorder="1" applyAlignment="1">
      <alignment horizontal="left" vertical="center" wrapText="1" indent="1"/>
    </xf>
    <xf numFmtId="0" fontId="9" fillId="0" borderId="5" xfId="14" applyFont="1" applyBorder="1" applyAlignment="1">
      <alignment horizontal="distributed" vertical="center" wrapText="1"/>
    </xf>
    <xf numFmtId="191" fontId="9" fillId="0" borderId="5" xfId="14" applyNumberFormat="1" applyFont="1" applyBorder="1" applyAlignment="1">
      <alignment horizontal="right" vertical="center" wrapText="1"/>
    </xf>
    <xf numFmtId="0" fontId="9" fillId="0" borderId="10" xfId="14" applyFont="1" applyBorder="1" applyAlignment="1">
      <alignment horizontal="center" vertical="center" wrapText="1"/>
    </xf>
    <xf numFmtId="0" fontId="9" fillId="0" borderId="21" xfId="14" applyFont="1" applyBorder="1" applyAlignment="1">
      <alignment horizontal="center" vertical="center" wrapText="1"/>
    </xf>
    <xf numFmtId="0" fontId="9" fillId="0" borderId="28" xfId="14" applyFont="1" applyBorder="1" applyAlignment="1">
      <alignment horizontal="center" vertical="center" wrapText="1"/>
    </xf>
    <xf numFmtId="0" fontId="9" fillId="0" borderId="15" xfId="14" applyFont="1" applyBorder="1" applyAlignment="1">
      <alignment horizontal="center" vertical="center" wrapText="1"/>
    </xf>
    <xf numFmtId="0" fontId="9" fillId="0" borderId="18" xfId="14" applyFont="1" applyBorder="1" applyAlignment="1">
      <alignment horizontal="center" vertical="center" wrapText="1"/>
    </xf>
    <xf numFmtId="0" fontId="9" fillId="0" borderId="19" xfId="14" applyFont="1" applyBorder="1" applyAlignment="1">
      <alignment horizontal="center" vertical="center" wrapText="1"/>
    </xf>
    <xf numFmtId="0" fontId="9" fillId="0" borderId="16" xfId="14" applyFont="1" applyBorder="1" applyAlignment="1">
      <alignment horizontal="center" vertical="center" wrapText="1"/>
    </xf>
    <xf numFmtId="0" fontId="9" fillId="0" borderId="17" xfId="14" applyFont="1" applyBorder="1" applyAlignment="1">
      <alignment horizontal="center" vertical="center" wrapText="1"/>
    </xf>
    <xf numFmtId="38" fontId="9" fillId="0" borderId="28" xfId="11" applyFont="1" applyBorder="1" applyAlignment="1">
      <alignment horizontal="center" vertical="center" wrapText="1"/>
    </xf>
    <xf numFmtId="38" fontId="9" fillId="0" borderId="15" xfId="11" applyFont="1" applyBorder="1" applyAlignment="1">
      <alignment horizontal="center" vertical="center" wrapText="1"/>
    </xf>
    <xf numFmtId="38" fontId="9" fillId="0" borderId="16" xfId="11" applyFont="1" applyBorder="1" applyAlignment="1">
      <alignment horizontal="center" vertical="center" wrapText="1"/>
    </xf>
    <xf numFmtId="38" fontId="9" fillId="0" borderId="17" xfId="11" applyFont="1" applyBorder="1" applyAlignment="1">
      <alignment horizontal="center" vertical="center" wrapText="1"/>
    </xf>
    <xf numFmtId="38" fontId="9" fillId="0" borderId="18" xfId="11" applyFont="1" applyBorder="1" applyAlignment="1">
      <alignment horizontal="center" vertical="center" wrapText="1"/>
    </xf>
    <xf numFmtId="38" fontId="9" fillId="0" borderId="19" xfId="11" applyFont="1" applyBorder="1" applyAlignment="1">
      <alignment horizontal="center" vertical="center" wrapText="1"/>
    </xf>
    <xf numFmtId="191" fontId="9" fillId="0" borderId="28" xfId="14" applyNumberFormat="1" applyFont="1" applyBorder="1" applyAlignment="1">
      <alignment horizontal="center" vertical="center" wrapText="1"/>
    </xf>
    <xf numFmtId="191" fontId="9" fillId="0" borderId="15" xfId="14" applyNumberFormat="1" applyFont="1" applyBorder="1" applyAlignment="1">
      <alignment horizontal="center" vertical="center" wrapText="1"/>
    </xf>
    <xf numFmtId="191" fontId="9" fillId="0" borderId="16" xfId="14" applyNumberFormat="1" applyFont="1" applyBorder="1" applyAlignment="1">
      <alignment horizontal="center" vertical="center" wrapText="1"/>
    </xf>
    <xf numFmtId="191" fontId="9" fillId="0" borderId="17" xfId="14" applyNumberFormat="1" applyFont="1" applyBorder="1" applyAlignment="1">
      <alignment horizontal="center" vertical="center" wrapText="1"/>
    </xf>
    <xf numFmtId="191" fontId="9" fillId="0" borderId="18" xfId="14" applyNumberFormat="1" applyFont="1" applyBorder="1" applyAlignment="1">
      <alignment horizontal="center" vertical="center" wrapText="1"/>
    </xf>
    <xf numFmtId="191" fontId="9" fillId="0" borderId="19" xfId="14" applyNumberFormat="1" applyFont="1" applyBorder="1" applyAlignment="1">
      <alignment horizontal="center" vertical="center" wrapText="1"/>
    </xf>
    <xf numFmtId="191" fontId="9" fillId="0" borderId="28" xfId="14" applyNumberFormat="1" applyFont="1" applyBorder="1" applyAlignment="1">
      <alignment horizontal="center" vertical="center" shrinkToFit="1"/>
    </xf>
    <xf numFmtId="191" fontId="9" fillId="0" borderId="15" xfId="14" applyNumberFormat="1" applyFont="1" applyBorder="1" applyAlignment="1">
      <alignment horizontal="center" vertical="center" shrinkToFit="1"/>
    </xf>
    <xf numFmtId="191" fontId="9" fillId="0" borderId="16" xfId="14" applyNumberFormat="1" applyFont="1" applyBorder="1" applyAlignment="1">
      <alignment horizontal="center" vertical="center" shrinkToFit="1"/>
    </xf>
    <xf numFmtId="191" fontId="9" fillId="0" borderId="17" xfId="14" applyNumberFormat="1" applyFont="1" applyBorder="1" applyAlignment="1">
      <alignment horizontal="center" vertical="center" shrinkToFit="1"/>
    </xf>
    <xf numFmtId="191" fontId="9" fillId="0" borderId="18" xfId="14" applyNumberFormat="1" applyFont="1" applyBorder="1" applyAlignment="1">
      <alignment horizontal="center" vertical="center" shrinkToFit="1"/>
    </xf>
    <xf numFmtId="191" fontId="9" fillId="0" borderId="19" xfId="14" applyNumberFormat="1" applyFont="1" applyBorder="1" applyAlignment="1">
      <alignment horizontal="center" vertical="center" shrinkToFit="1"/>
    </xf>
    <xf numFmtId="0" fontId="9" fillId="0" borderId="2" xfId="14" applyFont="1" applyBorder="1" applyAlignment="1">
      <alignment horizontal="center" vertical="center" wrapText="1"/>
    </xf>
    <xf numFmtId="0" fontId="30" fillId="0" borderId="0" xfId="14" applyFont="1" applyAlignment="1">
      <alignment horizontal="center" vertical="center" shrinkToFit="1"/>
    </xf>
    <xf numFmtId="0" fontId="30" fillId="0" borderId="20" xfId="14" applyFont="1" applyBorder="1" applyAlignment="1">
      <alignment horizontal="center" vertical="center" shrinkToFit="1"/>
    </xf>
    <xf numFmtId="0" fontId="9" fillId="0" borderId="28" xfId="14" applyFont="1" applyBorder="1" applyAlignment="1">
      <alignment horizontal="center" vertical="center" shrinkToFit="1"/>
    </xf>
    <xf numFmtId="0" fontId="9" fillId="0" borderId="15" xfId="14" applyFont="1" applyBorder="1" applyAlignment="1">
      <alignment horizontal="center" vertical="center" shrinkToFit="1"/>
    </xf>
    <xf numFmtId="0" fontId="9" fillId="0" borderId="18" xfId="14" applyFont="1" applyBorder="1" applyAlignment="1">
      <alignment horizontal="center" vertical="center" shrinkToFit="1"/>
    </xf>
    <xf numFmtId="0" fontId="9" fillId="0" borderId="19" xfId="14" applyFont="1" applyBorder="1" applyAlignment="1">
      <alignment horizontal="center" vertical="center" shrinkToFit="1"/>
    </xf>
    <xf numFmtId="192" fontId="9" fillId="0" borderId="28" xfId="14" applyNumberFormat="1" applyFont="1" applyBorder="1" applyAlignment="1">
      <alignment horizontal="center" vertical="center" wrapText="1"/>
    </xf>
    <xf numFmtId="192" fontId="9" fillId="0" borderId="15" xfId="14" applyNumberFormat="1" applyFont="1" applyBorder="1" applyAlignment="1">
      <alignment horizontal="center" vertical="center" wrapText="1"/>
    </xf>
    <xf numFmtId="192" fontId="9" fillId="0" borderId="16" xfId="14" applyNumberFormat="1" applyFont="1" applyBorder="1" applyAlignment="1">
      <alignment horizontal="center" vertical="center" wrapText="1"/>
    </xf>
    <xf numFmtId="192" fontId="9" fillId="0" borderId="17" xfId="14" applyNumberFormat="1" applyFont="1" applyBorder="1" applyAlignment="1">
      <alignment horizontal="center" vertical="center" wrapText="1"/>
    </xf>
    <xf numFmtId="192" fontId="9" fillId="0" borderId="18" xfId="14" applyNumberFormat="1" applyFont="1" applyBorder="1" applyAlignment="1">
      <alignment horizontal="center" vertical="center" wrapText="1"/>
    </xf>
    <xf numFmtId="192" fontId="9" fillId="0" borderId="19" xfId="14" applyNumberFormat="1" applyFont="1" applyBorder="1" applyAlignment="1">
      <alignment horizontal="center" vertical="center" wrapText="1"/>
    </xf>
    <xf numFmtId="0" fontId="9" fillId="0" borderId="5" xfId="14" applyFont="1" applyBorder="1" applyAlignment="1">
      <alignment horizontal="center" vertical="center" wrapText="1"/>
    </xf>
    <xf numFmtId="0" fontId="9" fillId="0" borderId="4" xfId="14" applyFont="1" applyBorder="1" applyAlignment="1">
      <alignment horizontal="center" vertical="center" textRotation="255"/>
    </xf>
    <xf numFmtId="0" fontId="9" fillId="0" borderId="31" xfId="14" applyFont="1" applyBorder="1" applyAlignment="1">
      <alignment horizontal="center" vertical="center" textRotation="255"/>
    </xf>
    <xf numFmtId="0" fontId="9" fillId="0" borderId="3" xfId="14" applyFont="1" applyBorder="1" applyAlignment="1">
      <alignment horizontal="center" vertical="center" textRotation="255"/>
    </xf>
    <xf numFmtId="191" fontId="9" fillId="0" borderId="10" xfId="14" applyNumberFormat="1" applyFont="1" applyBorder="1" applyAlignment="1">
      <alignment horizontal="right" vertical="center" wrapText="1"/>
    </xf>
    <xf numFmtId="191" fontId="9" fillId="0" borderId="2" xfId="14" applyNumberFormat="1" applyFont="1" applyBorder="1" applyAlignment="1">
      <alignment horizontal="right" vertical="center" wrapText="1"/>
    </xf>
    <xf numFmtId="191" fontId="9" fillId="0" borderId="21" xfId="14" applyNumberFormat="1" applyFont="1" applyBorder="1" applyAlignment="1">
      <alignment horizontal="right" vertical="center" wrapText="1"/>
    </xf>
    <xf numFmtId="243" fontId="9" fillId="0" borderId="10" xfId="0" applyNumberFormat="1" applyFont="1" applyBorder="1" applyAlignment="1">
      <alignment horizontal="left" vertical="center" indent="1"/>
    </xf>
    <xf numFmtId="243" fontId="9" fillId="0" borderId="2" xfId="0" applyNumberFormat="1" applyFont="1" applyBorder="1" applyAlignment="1">
      <alignment horizontal="left" vertical="center" indent="1"/>
    </xf>
    <xf numFmtId="0" fontId="9" fillId="0" borderId="5" xfId="14" applyFont="1" applyBorder="1" applyAlignment="1">
      <alignment vertical="center" wrapText="1"/>
    </xf>
    <xf numFmtId="240" fontId="9" fillId="0" borderId="5" xfId="0" applyNumberFormat="1" applyFont="1" applyBorder="1" applyAlignment="1">
      <alignment horizontal="left" vertical="center" indent="1"/>
    </xf>
    <xf numFmtId="241" fontId="9" fillId="0" borderId="5" xfId="0" applyNumberFormat="1" applyFont="1" applyBorder="1" applyAlignment="1">
      <alignment horizontal="left" vertical="center" indent="1"/>
    </xf>
    <xf numFmtId="245" fontId="9" fillId="0" borderId="5" xfId="14" applyNumberFormat="1" applyFont="1" applyBorder="1" applyAlignment="1">
      <alignment horizontal="left" vertical="center" wrapText="1" indent="1"/>
    </xf>
    <xf numFmtId="0" fontId="9" fillId="0" borderId="10" xfId="14" applyFont="1" applyBorder="1" applyAlignment="1">
      <alignment horizontal="distributed" vertical="center" wrapText="1" indent="1"/>
    </xf>
    <xf numFmtId="0" fontId="9" fillId="0" borderId="2" xfId="14" applyFont="1" applyBorder="1" applyAlignment="1">
      <alignment horizontal="distributed" vertical="center" wrapText="1" indent="1"/>
    </xf>
    <xf numFmtId="0" fontId="23" fillId="0" borderId="2" xfId="0" applyNumberFormat="1" applyFont="1" applyBorder="1" applyAlignment="1">
      <alignment horizontal="left" vertical="center"/>
    </xf>
    <xf numFmtId="0" fontId="23" fillId="0" borderId="21" xfId="0" applyNumberFormat="1" applyFont="1" applyBorder="1" applyAlignment="1">
      <alignment horizontal="left" vertical="center"/>
    </xf>
    <xf numFmtId="242" fontId="9" fillId="0" borderId="5" xfId="0" applyNumberFormat="1" applyFont="1" applyBorder="1" applyAlignment="1">
      <alignment horizontal="left" vertical="center" indent="1"/>
    </xf>
    <xf numFmtId="38" fontId="28" fillId="0" borderId="5" xfId="11" applyFont="1" applyBorder="1" applyAlignment="1">
      <alignment horizontal="center" vertical="center" shrinkToFit="1"/>
    </xf>
    <xf numFmtId="38" fontId="28" fillId="0" borderId="5" xfId="11" applyFont="1" applyBorder="1" applyAlignment="1">
      <alignment horizontal="left" vertical="center" indent="1" shrinkToFit="1"/>
    </xf>
    <xf numFmtId="0" fontId="28" fillId="0" borderId="4" xfId="15" applyFont="1" applyBorder="1" applyAlignment="1">
      <alignment horizontal="center" vertical="center"/>
    </xf>
    <xf numFmtId="0" fontId="28" fillId="0" borderId="31" xfId="15" applyFont="1" applyBorder="1" applyAlignment="1">
      <alignment horizontal="center" vertical="center"/>
    </xf>
    <xf numFmtId="0" fontId="28" fillId="0" borderId="3" xfId="15" applyFont="1" applyBorder="1" applyAlignment="1">
      <alignment horizontal="center" vertical="center"/>
    </xf>
    <xf numFmtId="0" fontId="28" fillId="0" borderId="32" xfId="15" applyFont="1" applyBorder="1" applyAlignment="1">
      <alignment horizontal="left" vertical="center" wrapText="1" shrinkToFit="1"/>
    </xf>
    <xf numFmtId="0" fontId="28" fillId="0" borderId="0" xfId="15" applyFont="1" applyAlignment="1">
      <alignment horizontal="left" vertical="center" shrinkToFit="1"/>
    </xf>
    <xf numFmtId="0" fontId="28" fillId="0" borderId="10" xfId="15" applyFont="1" applyBorder="1" applyAlignment="1">
      <alignment horizontal="center" vertical="center"/>
    </xf>
    <xf numFmtId="0" fontId="28" fillId="0" borderId="2" xfId="15" applyFont="1" applyBorder="1" applyAlignment="1">
      <alignment horizontal="center" vertical="center"/>
    </xf>
    <xf numFmtId="0" fontId="28" fillId="0" borderId="21" xfId="15" applyFont="1" applyBorder="1" applyAlignment="1">
      <alignment horizontal="center" vertical="center"/>
    </xf>
    <xf numFmtId="0" fontId="28" fillId="0" borderId="4" xfId="15" applyFont="1" applyFill="1" applyBorder="1" applyAlignment="1">
      <alignment horizontal="center" vertical="center"/>
    </xf>
    <xf numFmtId="0" fontId="28" fillId="0" borderId="31" xfId="15" applyFont="1" applyFill="1" applyBorder="1" applyAlignment="1">
      <alignment horizontal="center" vertical="center"/>
    </xf>
    <xf numFmtId="0" fontId="28" fillId="0" borderId="3" xfId="15" applyFont="1" applyFill="1" applyBorder="1" applyAlignment="1">
      <alignment horizontal="center" vertical="center"/>
    </xf>
    <xf numFmtId="198" fontId="28" fillId="0" borderId="23" xfId="11" applyNumberFormat="1" applyFont="1" applyBorder="1" applyAlignment="1">
      <alignment horizontal="center" vertical="center"/>
    </xf>
    <xf numFmtId="0" fontId="28" fillId="0" borderId="31" xfId="15" applyFont="1" applyBorder="1" applyAlignment="1">
      <alignment horizontal="center" vertical="center" shrinkToFit="1"/>
    </xf>
    <xf numFmtId="0" fontId="28" fillId="0" borderId="3" xfId="15" applyFont="1" applyBorder="1" applyAlignment="1">
      <alignment horizontal="center" vertical="center" shrinkToFit="1"/>
    </xf>
    <xf numFmtId="0" fontId="9" fillId="0" borderId="4" xfId="15" applyFont="1" applyBorder="1" applyAlignment="1">
      <alignment horizontal="center" vertical="center"/>
    </xf>
    <xf numFmtId="0" fontId="9" fillId="0" borderId="31" xfId="15" applyFont="1" applyBorder="1" applyAlignment="1">
      <alignment horizontal="center" vertical="center"/>
    </xf>
    <xf numFmtId="0" fontId="9" fillId="0" borderId="3" xfId="15" applyFont="1" applyBorder="1" applyAlignment="1">
      <alignment horizontal="center" vertical="center"/>
    </xf>
    <xf numFmtId="198" fontId="28" fillId="0" borderId="0" xfId="11" applyNumberFormat="1" applyFont="1" applyBorder="1" applyAlignment="1">
      <alignment horizontal="left" vertical="center"/>
    </xf>
    <xf numFmtId="0" fontId="25" fillId="0" borderId="16" xfId="15" applyFont="1" applyBorder="1" applyAlignment="1">
      <alignment horizontal="left" vertical="center" shrinkToFit="1"/>
    </xf>
    <xf numFmtId="0" fontId="25" fillId="0" borderId="0" xfId="15" applyFont="1" applyBorder="1" applyAlignment="1">
      <alignment horizontal="left" vertical="center" shrinkToFit="1"/>
    </xf>
    <xf numFmtId="191" fontId="23" fillId="0" borderId="5" xfId="13" applyNumberFormat="1" applyFont="1" applyBorder="1" applyAlignment="1">
      <alignment horizontal="left" vertical="center"/>
    </xf>
    <xf numFmtId="191" fontId="23" fillId="0" borderId="0" xfId="13" applyNumberFormat="1" applyFont="1" applyBorder="1" applyAlignment="1">
      <alignment horizontal="center" vertical="center"/>
    </xf>
    <xf numFmtId="191" fontId="18" fillId="0" borderId="10" xfId="13" applyNumberFormat="1" applyFont="1" applyBorder="1" applyAlignment="1">
      <alignment horizontal="center" vertical="center"/>
    </xf>
    <xf numFmtId="191" fontId="18" fillId="0" borderId="2" xfId="13" applyNumberFormat="1" applyFont="1" applyBorder="1" applyAlignment="1">
      <alignment horizontal="center" vertical="center"/>
    </xf>
    <xf numFmtId="191" fontId="18" fillId="0" borderId="21" xfId="13" applyNumberFormat="1" applyFont="1" applyBorder="1" applyAlignment="1">
      <alignment horizontal="center" vertical="center"/>
    </xf>
    <xf numFmtId="191" fontId="23" fillId="0" borderId="3" xfId="13" applyNumberFormat="1" applyFont="1" applyBorder="1" applyAlignment="1">
      <alignment vertical="center"/>
    </xf>
    <xf numFmtId="191" fontId="23" fillId="0" borderId="5" xfId="13" applyNumberFormat="1" applyFont="1" applyBorder="1" applyAlignment="1">
      <alignment vertical="center"/>
    </xf>
    <xf numFmtId="191" fontId="23" fillId="0" borderId="0" xfId="13" applyNumberFormat="1" applyFont="1" applyAlignment="1">
      <alignment vertical="center"/>
    </xf>
    <xf numFmtId="191" fontId="23" fillId="0" borderId="5" xfId="13" applyNumberFormat="1" applyFont="1" applyBorder="1" applyAlignment="1">
      <alignment horizontal="center" vertical="center"/>
    </xf>
    <xf numFmtId="191" fontId="23" fillId="0" borderId="28" xfId="13" applyNumberFormat="1" applyFont="1" applyBorder="1" applyAlignment="1">
      <alignment vertical="center"/>
    </xf>
    <xf numFmtId="191" fontId="23" fillId="0" borderId="32" xfId="13" applyNumberFormat="1" applyFont="1" applyBorder="1" applyAlignment="1">
      <alignment vertical="center"/>
    </xf>
    <xf numFmtId="191" fontId="23" fillId="0" borderId="15" xfId="13" applyNumberFormat="1" applyFont="1" applyBorder="1" applyAlignment="1">
      <alignment vertical="center"/>
    </xf>
    <xf numFmtId="191" fontId="23" fillId="0" borderId="10" xfId="13" applyNumberFormat="1" applyFont="1" applyBorder="1" applyAlignment="1">
      <alignment vertical="center"/>
    </xf>
    <xf numFmtId="191" fontId="23" fillId="0" borderId="2" xfId="13" applyNumberFormat="1" applyFont="1" applyBorder="1" applyAlignment="1">
      <alignment vertical="center"/>
    </xf>
    <xf numFmtId="191" fontId="23" fillId="0" borderId="21" xfId="13" applyNumberFormat="1" applyFont="1" applyBorder="1" applyAlignment="1">
      <alignment vertical="center"/>
    </xf>
    <xf numFmtId="191" fontId="23" fillId="0" borderId="31" xfId="13" applyNumberFormat="1" applyFont="1" applyBorder="1" applyAlignment="1">
      <alignment horizontal="center" vertical="center"/>
    </xf>
    <xf numFmtId="191" fontId="23" fillId="0" borderId="4" xfId="13" applyNumberFormat="1" applyFont="1" applyBorder="1" applyAlignment="1">
      <alignment horizontal="center" vertical="center" wrapText="1"/>
    </xf>
    <xf numFmtId="191" fontId="23" fillId="0" borderId="31" xfId="13" applyNumberFormat="1" applyFont="1" applyBorder="1" applyAlignment="1">
      <alignment horizontal="center" vertical="center" wrapText="1"/>
    </xf>
    <xf numFmtId="191" fontId="23" fillId="0" borderId="3" xfId="13" applyNumberFormat="1" applyFont="1" applyBorder="1" applyAlignment="1">
      <alignment horizontal="center" vertical="center" wrapText="1"/>
    </xf>
    <xf numFmtId="191" fontId="23" fillId="0" borderId="4" xfId="13" applyNumberFormat="1" applyFont="1" applyBorder="1" applyAlignment="1">
      <alignment vertical="center"/>
    </xf>
    <xf numFmtId="0" fontId="26" fillId="0" borderId="0" xfId="12" applyFont="1" applyFill="1" applyAlignment="1">
      <alignment horizontal="center" vertical="center"/>
    </xf>
    <xf numFmtId="0" fontId="9" fillId="0" borderId="0" xfId="12" applyFont="1" applyFill="1" applyAlignment="1">
      <alignment horizontal="left" vertical="center"/>
    </xf>
    <xf numFmtId="0" fontId="9" fillId="0" borderId="0" xfId="12" applyFont="1" applyFill="1" applyBorder="1" applyAlignment="1">
      <alignment horizontal="left" vertical="center"/>
    </xf>
    <xf numFmtId="0" fontId="9" fillId="0" borderId="10" xfId="12" applyFont="1" applyFill="1" applyBorder="1" applyAlignment="1">
      <alignment horizontal="center" vertical="center" shrinkToFit="1"/>
    </xf>
    <xf numFmtId="0" fontId="9" fillId="0" borderId="2" xfId="12" applyFont="1" applyFill="1" applyBorder="1" applyAlignment="1">
      <alignment horizontal="center" vertical="center" shrinkToFit="1"/>
    </xf>
    <xf numFmtId="0" fontId="9" fillId="0" borderId="21" xfId="12" applyFont="1" applyFill="1" applyBorder="1" applyAlignment="1">
      <alignment horizontal="center" vertical="center" shrinkToFit="1"/>
    </xf>
    <xf numFmtId="206" fontId="9" fillId="0" borderId="10" xfId="12" applyNumberFormat="1" applyFont="1" applyFill="1" applyBorder="1" applyAlignment="1">
      <alignment horizontal="right" vertical="center" shrinkToFit="1"/>
    </xf>
    <xf numFmtId="0" fontId="9" fillId="0" borderId="2" xfId="12" applyFont="1" applyFill="1" applyBorder="1" applyAlignment="1">
      <alignment vertical="center" shrinkToFit="1"/>
    </xf>
    <xf numFmtId="0" fontId="9" fillId="0" borderId="21" xfId="12" applyFont="1" applyFill="1" applyBorder="1" applyAlignment="1">
      <alignment vertical="center" shrinkToFit="1"/>
    </xf>
    <xf numFmtId="0" fontId="9" fillId="0" borderId="32" xfId="12" applyFont="1" applyFill="1" applyBorder="1" applyAlignment="1">
      <alignment vertical="center" shrinkToFit="1"/>
    </xf>
  </cellXfs>
  <cellStyles count="18">
    <cellStyle name="Calc Currency (0)" xfId="1"/>
    <cellStyle name="entry" xfId="2"/>
    <cellStyle name="Header1" xfId="3"/>
    <cellStyle name="Header2" xfId="4"/>
    <cellStyle name="Normal_#18-Internet" xfId="5"/>
    <cellStyle name="price" xfId="6"/>
    <cellStyle name="revised" xfId="7"/>
    <cellStyle name="section" xfId="8"/>
    <cellStyle name="title" xfId="9"/>
    <cellStyle name="パーセント" xfId="10" builtinId="5"/>
    <cellStyle name="桁区切り" xfId="11" builtinId="6"/>
    <cellStyle name="標準" xfId="0" builtinId="0"/>
    <cellStyle name="標準_★200626★　経理&amp;様式  リース会計（所有権移転外ＦＬ） " xfId="12"/>
    <cellStyle name="標準_コピー ～ 事業施設整備計画書様式(原）" xfId="13"/>
    <cellStyle name="標準_収支計画" xfId="14"/>
    <cellStyle name="標準_収支計画積算資料(ﾏﾝｺﾞｰ）" xfId="15"/>
    <cellStyle name="標準_選果場10／17" xfId="16"/>
    <cellStyle name="標準_選果場10／26-630円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7</xdr:row>
      <xdr:rowOff>9525</xdr:rowOff>
    </xdr:from>
    <xdr:to>
      <xdr:col>5</xdr:col>
      <xdr:colOff>485775</xdr:colOff>
      <xdr:row>9</xdr:row>
      <xdr:rowOff>219075</xdr:rowOff>
    </xdr:to>
    <xdr:sp macro="" textlink="">
      <xdr:nvSpPr>
        <xdr:cNvPr id="1133" name="Line 1"/>
        <xdr:cNvSpPr>
          <a:spLocks noChangeShapeType="1"/>
        </xdr:cNvSpPr>
      </xdr:nvSpPr>
      <xdr:spPr bwMode="auto">
        <a:xfrm flipH="1" flipV="1">
          <a:off x="2295525" y="1743075"/>
          <a:ext cx="1485900" cy="6667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5</xdr:col>
      <xdr:colOff>38100</xdr:colOff>
      <xdr:row>36</xdr:row>
      <xdr:rowOff>0</xdr:rowOff>
    </xdr:from>
    <xdr:to>
      <xdr:col>5</xdr:col>
      <xdr:colOff>123825</xdr:colOff>
      <xdr:row>36</xdr:row>
      <xdr:rowOff>209550</xdr:rowOff>
    </xdr:to>
    <xdr:sp macro="" textlink="">
      <xdr:nvSpPr>
        <xdr:cNvPr id="1134" name="Text Box 2"/>
        <xdr:cNvSpPr txBox="1">
          <a:spLocks noChangeArrowheads="1"/>
        </xdr:cNvSpPr>
      </xdr:nvSpPr>
      <xdr:spPr bwMode="auto">
        <a:xfrm>
          <a:off x="3333750" y="84963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38100</xdr:colOff>
      <xdr:row>36</xdr:row>
      <xdr:rowOff>0</xdr:rowOff>
    </xdr:from>
    <xdr:to>
      <xdr:col>5</xdr:col>
      <xdr:colOff>123825</xdr:colOff>
      <xdr:row>36</xdr:row>
      <xdr:rowOff>209550</xdr:rowOff>
    </xdr:to>
    <xdr:sp macro="" textlink="">
      <xdr:nvSpPr>
        <xdr:cNvPr id="1135" name="Text Box 3"/>
        <xdr:cNvSpPr txBox="1">
          <a:spLocks noChangeArrowheads="1"/>
        </xdr:cNvSpPr>
      </xdr:nvSpPr>
      <xdr:spPr bwMode="auto">
        <a:xfrm>
          <a:off x="3333750" y="84963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38100</xdr:colOff>
      <xdr:row>36</xdr:row>
      <xdr:rowOff>0</xdr:rowOff>
    </xdr:from>
    <xdr:to>
      <xdr:col>5</xdr:col>
      <xdr:colOff>123825</xdr:colOff>
      <xdr:row>36</xdr:row>
      <xdr:rowOff>209550</xdr:rowOff>
    </xdr:to>
    <xdr:sp macro="" textlink="">
      <xdr:nvSpPr>
        <xdr:cNvPr id="1136" name="Text Box 4"/>
        <xdr:cNvSpPr txBox="1">
          <a:spLocks noChangeArrowheads="1"/>
        </xdr:cNvSpPr>
      </xdr:nvSpPr>
      <xdr:spPr bwMode="auto">
        <a:xfrm>
          <a:off x="3333750" y="84963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280145</xdr:colOff>
      <xdr:row>0</xdr:row>
      <xdr:rowOff>48845</xdr:rowOff>
    </xdr:from>
    <xdr:ext cx="1187824" cy="471051"/>
    <xdr:sp macro="" textlink="">
      <xdr:nvSpPr>
        <xdr:cNvPr id="4" name="角丸四角形吹き出し 3"/>
        <xdr:cNvSpPr/>
      </xdr:nvSpPr>
      <xdr:spPr>
        <a:xfrm>
          <a:off x="2207557" y="48845"/>
          <a:ext cx="1187824" cy="471051"/>
        </a:xfrm>
        <a:prstGeom prst="wedgeRoundRectCallout">
          <a:avLst/>
        </a:prstGeom>
        <a:solidFill>
          <a:srgbClr val="FFFF00">
            <a:alpha val="50000"/>
          </a:srgbClr>
        </a:solidFill>
        <a:ln>
          <a:solidFill>
            <a:sysClr val="windowText" lastClr="000000"/>
          </a:solidFill>
        </a:ln>
        <a:effectLst>
          <a:outerShdw sx="1000" sy="1000" algn="ctr" rotWithShape="0">
            <a:schemeClr val="bg1"/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pAutoFit/>
        </a:bodyPr>
        <a:lstStyle/>
        <a:p>
          <a:pPr algn="l">
            <a:lnSpc>
              <a:spcPts val="1200"/>
            </a:lnSpc>
          </a:pPr>
          <a:r>
            <a:rPr kumimoji="1" lang="ja-JP" altLang="en-US" sz="1100" baseline="0">
              <a:solidFill>
                <a:schemeClr val="tx1"/>
              </a:solidFill>
            </a:rPr>
            <a:t>現状及び課題を記述すること</a:t>
          </a:r>
        </a:p>
      </xdr:txBody>
    </xdr:sp>
    <xdr:clientData fPrintsWithSheet="0"/>
  </xdr:oneCellAnchor>
  <xdr:oneCellAnchor>
    <xdr:from>
      <xdr:col>5</xdr:col>
      <xdr:colOff>257735</xdr:colOff>
      <xdr:row>20</xdr:row>
      <xdr:rowOff>79034</xdr:rowOff>
    </xdr:from>
    <xdr:ext cx="3104030" cy="548495"/>
    <xdr:sp macro="" textlink="">
      <xdr:nvSpPr>
        <xdr:cNvPr id="16" name="角丸四角形吹き出し 15"/>
        <xdr:cNvSpPr/>
      </xdr:nvSpPr>
      <xdr:spPr>
        <a:xfrm>
          <a:off x="3552264" y="4707063"/>
          <a:ext cx="3104030" cy="548495"/>
        </a:xfrm>
        <a:prstGeom prst="wedgeRoundRectCallout">
          <a:avLst>
            <a:gd name="adj1" fmla="val -63113"/>
            <a:gd name="adj2" fmla="val 40288"/>
            <a:gd name="adj3" fmla="val 16667"/>
          </a:avLst>
        </a:prstGeom>
        <a:solidFill>
          <a:srgbClr val="FFFF00">
            <a:alpha val="50000"/>
          </a:srgbClr>
        </a:solidFill>
        <a:ln w="25400" cap="flat" cmpd="sng" algn="ctr">
          <a:solidFill>
            <a:sysClr val="windowText" lastClr="000000"/>
          </a:solidFill>
          <a:prstDash val="solid"/>
        </a:ln>
        <a:effectLst>
          <a:outerShdw sx="1000" sy="1000" algn="ctr" rotWithShape="0">
            <a:sysClr val="window" lastClr="FFFFFF"/>
          </a:outerShdw>
        </a:effectLst>
      </xdr:spPr>
      <xdr:txBody>
        <a:bodyPr vertOverflow="clip" horzOverflow="clip" numCol="1" rtlCol="0" anchor="ctr" anchorCtr="1">
          <a:noAutofit/>
        </a:bodyPr>
        <a:lstStyle/>
        <a:p>
          <a:pPr marL="0" marR="0" lvl="0" indent="0" algn="l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事業実施計画書第２と同一の場合は、「事業実施計画書第２と同じ」と記述し、省略してもよい</a:t>
          </a:r>
        </a:p>
      </xdr:txBody>
    </xdr:sp>
    <xdr:clientData fPrintsWithSheet="0"/>
  </xdr:oneCellAnchor>
  <xdr:oneCellAnchor>
    <xdr:from>
      <xdr:col>5</xdr:col>
      <xdr:colOff>392206</xdr:colOff>
      <xdr:row>24</xdr:row>
      <xdr:rowOff>112059</xdr:rowOff>
    </xdr:from>
    <xdr:ext cx="3238500" cy="526081"/>
    <xdr:sp macro="" textlink="">
      <xdr:nvSpPr>
        <xdr:cNvPr id="19" name="角丸四角形吹き出し 18"/>
        <xdr:cNvSpPr/>
      </xdr:nvSpPr>
      <xdr:spPr>
        <a:xfrm>
          <a:off x="3686735" y="5636559"/>
          <a:ext cx="3238500" cy="526081"/>
        </a:xfrm>
        <a:prstGeom prst="wedgeRoundRectCallout">
          <a:avLst>
            <a:gd name="adj1" fmla="val -63113"/>
            <a:gd name="adj2" fmla="val 40288"/>
            <a:gd name="adj3" fmla="val 16667"/>
          </a:avLst>
        </a:prstGeom>
        <a:solidFill>
          <a:srgbClr val="FFFF00">
            <a:alpha val="50000"/>
          </a:srgbClr>
        </a:solidFill>
        <a:ln w="25400" cap="flat" cmpd="sng" algn="ctr">
          <a:solidFill>
            <a:sysClr val="windowText" lastClr="000000"/>
          </a:solidFill>
          <a:prstDash val="solid"/>
        </a:ln>
        <a:effectLst>
          <a:outerShdw sx="1000" sy="1000" algn="ctr" rotWithShape="0">
            <a:sysClr val="window" lastClr="FFFFFF"/>
          </a:outerShdw>
        </a:effectLst>
      </xdr:spPr>
      <xdr:txBody>
        <a:bodyPr vertOverflow="clip" horzOverflow="clip" numCol="1" rtlCol="0" anchor="ctr" anchorCtr="1">
          <a:noAutofit/>
        </a:bodyPr>
        <a:lstStyle/>
        <a:p>
          <a:pPr marL="0" marR="0" lvl="0" indent="0" algn="l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事業実施計画書第１と同一内容の場合は、「事業実施計画書第１と同じ」と記述し、省略してもよい</a:t>
          </a:r>
        </a:p>
      </xdr:txBody>
    </xdr:sp>
    <xdr:clientData fPrintsWithSheet="0"/>
  </xdr:oneCellAnchor>
  <xdr:oneCellAnchor>
    <xdr:from>
      <xdr:col>19</xdr:col>
      <xdr:colOff>201705</xdr:colOff>
      <xdr:row>28</xdr:row>
      <xdr:rowOff>168090</xdr:rowOff>
    </xdr:from>
    <xdr:ext cx="2454089" cy="507940"/>
    <xdr:sp macro="" textlink="">
      <xdr:nvSpPr>
        <xdr:cNvPr id="21" name="角丸四角形吹き出し 20"/>
        <xdr:cNvSpPr/>
      </xdr:nvSpPr>
      <xdr:spPr>
        <a:xfrm>
          <a:off x="10555940" y="6589061"/>
          <a:ext cx="2454089" cy="507940"/>
        </a:xfrm>
        <a:prstGeom prst="wedgeRoundRectCallout">
          <a:avLst>
            <a:gd name="adj1" fmla="val -16709"/>
            <a:gd name="adj2" fmla="val 91888"/>
            <a:gd name="adj3" fmla="val 16667"/>
          </a:avLst>
        </a:prstGeom>
        <a:solidFill>
          <a:srgbClr val="FFFF00">
            <a:alpha val="50000"/>
          </a:srgbClr>
        </a:solidFill>
        <a:ln w="25400" cap="flat" cmpd="sng" algn="ctr">
          <a:solidFill>
            <a:sysClr val="windowText" lastClr="000000"/>
          </a:solidFill>
          <a:prstDash val="solid"/>
        </a:ln>
        <a:effectLst>
          <a:outerShdw sx="1000" sy="1000" algn="ctr" rotWithShape="0">
            <a:sysClr val="window" lastClr="FFFFFF"/>
          </a:outerShdw>
        </a:effectLst>
      </xdr:spPr>
      <xdr:txBody>
        <a:bodyPr vertOverflow="clip" horzOverflow="clip" rtlCol="0" anchor="ctr" anchorCtr="1">
          <a:sp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事業費の根拠等を記入すること</a:t>
          </a:r>
          <a:endParaRPr kumimoji="1" lang="en-US" altLang="ja-JP" sz="11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(</a:t>
          </a:r>
          <a:r>
            <a:rPr kumimoji="1" lang="ja-JP" alt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例）　業者見積による</a:t>
          </a:r>
        </a:p>
      </xdr:txBody>
    </xdr:sp>
    <xdr:clientData fPrint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3172" name="Line 1"/>
        <xdr:cNvSpPr>
          <a:spLocks noChangeShapeType="1"/>
        </xdr:cNvSpPr>
      </xdr:nvSpPr>
      <xdr:spPr bwMode="auto">
        <a:xfrm flipH="1" flipV="1">
          <a:off x="2076450" y="1104900"/>
          <a:ext cx="1009650" cy="762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3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3173" name="Line 2"/>
        <xdr:cNvSpPr>
          <a:spLocks noChangeShapeType="1"/>
        </xdr:cNvSpPr>
      </xdr:nvSpPr>
      <xdr:spPr bwMode="auto">
        <a:xfrm flipH="1" flipV="1">
          <a:off x="2076450" y="1104900"/>
          <a:ext cx="1009650" cy="762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171450</xdr:colOff>
      <xdr:row>10</xdr:row>
      <xdr:rowOff>390525</xdr:rowOff>
    </xdr:from>
    <xdr:to>
      <xdr:col>30</xdr:col>
      <xdr:colOff>180975</xdr:colOff>
      <xdr:row>10</xdr:row>
      <xdr:rowOff>390525</xdr:rowOff>
    </xdr:to>
    <xdr:sp macro="" textlink="">
      <xdr:nvSpPr>
        <xdr:cNvPr id="3174" name="Line 6"/>
        <xdr:cNvSpPr>
          <a:spLocks noChangeShapeType="1"/>
        </xdr:cNvSpPr>
      </xdr:nvSpPr>
      <xdr:spPr bwMode="auto">
        <a:xfrm>
          <a:off x="7477125" y="4162425"/>
          <a:ext cx="809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31</xdr:col>
      <xdr:colOff>180975</xdr:colOff>
      <xdr:row>10</xdr:row>
      <xdr:rowOff>381000</xdr:rowOff>
    </xdr:from>
    <xdr:to>
      <xdr:col>41</xdr:col>
      <xdr:colOff>0</xdr:colOff>
      <xdr:row>10</xdr:row>
      <xdr:rowOff>381000</xdr:rowOff>
    </xdr:to>
    <xdr:sp macro="" textlink="">
      <xdr:nvSpPr>
        <xdr:cNvPr id="3175" name="Line 7"/>
        <xdr:cNvSpPr>
          <a:spLocks noChangeShapeType="1"/>
        </xdr:cNvSpPr>
      </xdr:nvSpPr>
      <xdr:spPr bwMode="auto">
        <a:xfrm>
          <a:off x="8486775" y="4152900"/>
          <a:ext cx="18192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19050</xdr:colOff>
      <xdr:row>10</xdr:row>
      <xdr:rowOff>371475</xdr:rowOff>
    </xdr:from>
    <xdr:to>
      <xdr:col>21</xdr:col>
      <xdr:colOff>0</xdr:colOff>
      <xdr:row>10</xdr:row>
      <xdr:rowOff>371475</xdr:rowOff>
    </xdr:to>
    <xdr:sp macro="" textlink="">
      <xdr:nvSpPr>
        <xdr:cNvPr id="3176" name="Line 8"/>
        <xdr:cNvSpPr>
          <a:spLocks noChangeShapeType="1"/>
        </xdr:cNvSpPr>
      </xdr:nvSpPr>
      <xdr:spPr bwMode="auto">
        <a:xfrm>
          <a:off x="3105150" y="4143375"/>
          <a:ext cx="3200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6</xdr:col>
      <xdr:colOff>100853</xdr:colOff>
      <xdr:row>6</xdr:row>
      <xdr:rowOff>369796</xdr:rowOff>
    </xdr:from>
    <xdr:ext cx="3104030" cy="784412"/>
    <xdr:sp macro="" textlink="">
      <xdr:nvSpPr>
        <xdr:cNvPr id="10" name="角丸四角形吹き出し 9"/>
        <xdr:cNvSpPr/>
      </xdr:nvSpPr>
      <xdr:spPr>
        <a:xfrm>
          <a:off x="3395382" y="2622178"/>
          <a:ext cx="3104030" cy="784412"/>
        </a:xfrm>
        <a:prstGeom prst="wedgeRoundRectCallout">
          <a:avLst>
            <a:gd name="adj1" fmla="val -63474"/>
            <a:gd name="adj2" fmla="val 27431"/>
            <a:gd name="adj3" fmla="val 16667"/>
          </a:avLst>
        </a:prstGeom>
        <a:solidFill>
          <a:srgbClr val="FFFF00">
            <a:alpha val="50000"/>
          </a:srgbClr>
        </a:solidFill>
        <a:ln w="25400" cap="flat" cmpd="sng" algn="ctr">
          <a:solidFill>
            <a:sysClr val="windowText" lastClr="000000"/>
          </a:solidFill>
          <a:prstDash val="solid"/>
        </a:ln>
        <a:effectLst>
          <a:outerShdw sx="1000" sy="1000" algn="ctr" rotWithShape="0">
            <a:sysClr val="window" lastClr="FFFFFF"/>
          </a:outerShdw>
        </a:effectLst>
      </xdr:spPr>
      <xdr:txBody>
        <a:bodyPr vertOverflow="clip" horzOverflow="clip" numCol="1" rtlCol="0" anchor="ctr" anchorCtr="1">
          <a:noAutofit/>
        </a:bodyPr>
        <a:lstStyle/>
        <a:p>
          <a:pPr marL="0" marR="0" lvl="0" indent="0" algn="l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事業実施計画書第６の３の（２）の②と同一の場合は、「事業実施計画書第６の３の（２）の②と同じ」と記述し、省略してもよい</a:t>
          </a:r>
        </a:p>
      </xdr:txBody>
    </xdr:sp>
    <xdr:clientData fPrint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0</xdr:row>
      <xdr:rowOff>0</xdr:rowOff>
    </xdr:from>
    <xdr:to>
      <xdr:col>10</xdr:col>
      <xdr:colOff>9525</xdr:colOff>
      <xdr:row>0</xdr:row>
      <xdr:rowOff>0</xdr:rowOff>
    </xdr:to>
    <xdr:sp macro="" textlink="">
      <xdr:nvSpPr>
        <xdr:cNvPr id="9273" name="Line 1"/>
        <xdr:cNvSpPr>
          <a:spLocks noChangeShapeType="1"/>
        </xdr:cNvSpPr>
      </xdr:nvSpPr>
      <xdr:spPr bwMode="auto">
        <a:xfrm>
          <a:off x="2781300" y="0"/>
          <a:ext cx="5657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9274" name="Line 2"/>
        <xdr:cNvSpPr>
          <a:spLocks noChangeShapeType="1"/>
        </xdr:cNvSpPr>
      </xdr:nvSpPr>
      <xdr:spPr bwMode="auto">
        <a:xfrm>
          <a:off x="2781300" y="0"/>
          <a:ext cx="4667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0</xdr:row>
      <xdr:rowOff>0</xdr:rowOff>
    </xdr:from>
    <xdr:to>
      <xdr:col>10</xdr:col>
      <xdr:colOff>9525</xdr:colOff>
      <xdr:row>0</xdr:row>
      <xdr:rowOff>0</xdr:rowOff>
    </xdr:to>
    <xdr:sp macro="" textlink="">
      <xdr:nvSpPr>
        <xdr:cNvPr id="9275" name="Line 3"/>
        <xdr:cNvSpPr>
          <a:spLocks noChangeShapeType="1"/>
        </xdr:cNvSpPr>
      </xdr:nvSpPr>
      <xdr:spPr bwMode="auto">
        <a:xfrm>
          <a:off x="2781300" y="0"/>
          <a:ext cx="5657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9276" name="Line 4"/>
        <xdr:cNvSpPr>
          <a:spLocks noChangeShapeType="1"/>
        </xdr:cNvSpPr>
      </xdr:nvSpPr>
      <xdr:spPr bwMode="auto">
        <a:xfrm>
          <a:off x="2781300" y="0"/>
          <a:ext cx="4667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</xdr:colOff>
      <xdr:row>34</xdr:row>
      <xdr:rowOff>0</xdr:rowOff>
    </xdr:from>
    <xdr:to>
      <xdr:col>5</xdr:col>
      <xdr:colOff>152400</xdr:colOff>
      <xdr:row>34</xdr:row>
      <xdr:rowOff>209550</xdr:rowOff>
    </xdr:to>
    <xdr:sp macro="" textlink="">
      <xdr:nvSpPr>
        <xdr:cNvPr id="12355" name="Text Box 1"/>
        <xdr:cNvSpPr txBox="1">
          <a:spLocks noChangeArrowheads="1"/>
        </xdr:cNvSpPr>
      </xdr:nvSpPr>
      <xdr:spPr bwMode="auto">
        <a:xfrm>
          <a:off x="2819400" y="91440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66675</xdr:colOff>
      <xdr:row>34</xdr:row>
      <xdr:rowOff>0</xdr:rowOff>
    </xdr:from>
    <xdr:to>
      <xdr:col>5</xdr:col>
      <xdr:colOff>152400</xdr:colOff>
      <xdr:row>34</xdr:row>
      <xdr:rowOff>209550</xdr:rowOff>
    </xdr:to>
    <xdr:sp macro="" textlink="">
      <xdr:nvSpPr>
        <xdr:cNvPr id="12356" name="Text Box 2"/>
        <xdr:cNvSpPr txBox="1">
          <a:spLocks noChangeArrowheads="1"/>
        </xdr:cNvSpPr>
      </xdr:nvSpPr>
      <xdr:spPr bwMode="auto">
        <a:xfrm>
          <a:off x="2819400" y="91440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66675</xdr:colOff>
      <xdr:row>34</xdr:row>
      <xdr:rowOff>0</xdr:rowOff>
    </xdr:from>
    <xdr:to>
      <xdr:col>5</xdr:col>
      <xdr:colOff>152400</xdr:colOff>
      <xdr:row>34</xdr:row>
      <xdr:rowOff>209550</xdr:rowOff>
    </xdr:to>
    <xdr:sp macro="" textlink="">
      <xdr:nvSpPr>
        <xdr:cNvPr id="12357" name="Text Box 3"/>
        <xdr:cNvSpPr txBox="1">
          <a:spLocks noChangeArrowheads="1"/>
        </xdr:cNvSpPr>
      </xdr:nvSpPr>
      <xdr:spPr bwMode="auto">
        <a:xfrm>
          <a:off x="2819400" y="91440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15</xdr:col>
      <xdr:colOff>840441</xdr:colOff>
      <xdr:row>6</xdr:row>
      <xdr:rowOff>11206</xdr:rowOff>
    </xdr:from>
    <xdr:ext cx="3104030" cy="526081"/>
    <xdr:sp macro="" textlink="">
      <xdr:nvSpPr>
        <xdr:cNvPr id="6" name="角丸四角形吹き出し 5"/>
        <xdr:cNvSpPr/>
      </xdr:nvSpPr>
      <xdr:spPr>
        <a:xfrm>
          <a:off x="11037794" y="1703294"/>
          <a:ext cx="3104030" cy="526081"/>
        </a:xfrm>
        <a:prstGeom prst="wedgeRoundRectCallout">
          <a:avLst>
            <a:gd name="adj1" fmla="val -11127"/>
            <a:gd name="adj2" fmla="val 116970"/>
            <a:gd name="adj3" fmla="val 16667"/>
          </a:avLst>
        </a:prstGeom>
        <a:solidFill>
          <a:srgbClr val="FFFF00">
            <a:alpha val="50000"/>
          </a:srgbClr>
        </a:solidFill>
        <a:ln w="25400" cap="flat" cmpd="sng" algn="ctr">
          <a:solidFill>
            <a:sysClr val="windowText" lastClr="000000"/>
          </a:solidFill>
          <a:prstDash val="solid"/>
        </a:ln>
        <a:effectLst>
          <a:outerShdw sx="1000" sy="1000" algn="ctr" rotWithShape="0">
            <a:sysClr val="window" lastClr="FFFFFF"/>
          </a:outerShdw>
        </a:effectLst>
      </xdr:spPr>
      <xdr:txBody>
        <a:bodyPr vertOverflow="clip" horzOverflow="clip" numCol="1" rtlCol="0" anchor="ctr" anchorCtr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自作地または土地の使用権限根拠を記載</a:t>
          </a:r>
        </a:p>
      </xdr:txBody>
    </xdr:sp>
    <xdr:clientData fPrintsWithSheet="0"/>
  </xdr:oneCellAnchor>
  <xdr:oneCellAnchor>
    <xdr:from>
      <xdr:col>1</xdr:col>
      <xdr:colOff>100853</xdr:colOff>
      <xdr:row>8</xdr:row>
      <xdr:rowOff>145675</xdr:rowOff>
    </xdr:from>
    <xdr:ext cx="2902324" cy="526081"/>
    <xdr:sp macro="" textlink="">
      <xdr:nvSpPr>
        <xdr:cNvPr id="8" name="角丸四角形吹き出し 7"/>
        <xdr:cNvSpPr/>
      </xdr:nvSpPr>
      <xdr:spPr>
        <a:xfrm>
          <a:off x="986118" y="2375646"/>
          <a:ext cx="2902324" cy="526081"/>
        </a:xfrm>
        <a:prstGeom prst="wedgeRoundRectCallout">
          <a:avLst>
            <a:gd name="adj1" fmla="val 43386"/>
            <a:gd name="adj2" fmla="val 104190"/>
            <a:gd name="adj3" fmla="val 16667"/>
          </a:avLst>
        </a:prstGeom>
        <a:solidFill>
          <a:srgbClr val="FFFF00">
            <a:alpha val="50000"/>
          </a:srgbClr>
        </a:solidFill>
        <a:ln w="25400" cap="flat" cmpd="sng" algn="ctr">
          <a:solidFill>
            <a:sysClr val="windowText" lastClr="000000"/>
          </a:solidFill>
          <a:prstDash val="solid"/>
        </a:ln>
        <a:effectLst>
          <a:outerShdw sx="1000" sy="1000" algn="ctr" rotWithShape="0">
            <a:sysClr val="window" lastClr="FFFFFF"/>
          </a:outerShdw>
        </a:effectLst>
      </xdr:spPr>
      <xdr:txBody>
        <a:bodyPr vertOverflow="clip" horzOverflow="clip" numCol="1" rtlCol="0" anchor="ctr" anchorCtr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配置図、平面図と内容を一致させること</a:t>
          </a:r>
        </a:p>
      </xdr:txBody>
    </xdr:sp>
    <xdr:clientData fPrintsWithSheet="0"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1:S36"/>
  <sheetViews>
    <sheetView view="pageBreakPreview" zoomScale="70" zoomScaleNormal="75" workbookViewId="0">
      <selection activeCell="I5" sqref="I5"/>
    </sheetView>
  </sheetViews>
  <sheetFormatPr defaultRowHeight="13.5" x14ac:dyDescent="0.15"/>
  <cols>
    <col min="1" max="19" width="9.625" style="40" customWidth="1"/>
    <col min="20" max="16384" width="9" style="40"/>
  </cols>
  <sheetData>
    <row r="1" spans="1:19" ht="27.75" customHeight="1" x14ac:dyDescent="0.15">
      <c r="A1" s="452" t="s">
        <v>477</v>
      </c>
      <c r="B1" s="453"/>
      <c r="C1" s="453"/>
      <c r="D1" s="454"/>
      <c r="E1" s="39"/>
      <c r="F1" s="39"/>
      <c r="G1" s="39"/>
      <c r="H1" s="39"/>
      <c r="I1" s="39"/>
      <c r="J1" s="39"/>
      <c r="K1" s="39"/>
      <c r="L1" s="39"/>
      <c r="M1" s="39"/>
      <c r="N1" s="459" t="s">
        <v>30</v>
      </c>
      <c r="O1" s="459"/>
      <c r="P1" s="460" t="s">
        <v>487</v>
      </c>
      <c r="Q1" s="460"/>
    </row>
    <row r="2" spans="1:19" ht="27.75" customHeight="1" x14ac:dyDescent="0.1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459" t="s">
        <v>31</v>
      </c>
      <c r="O2" s="459"/>
      <c r="P2" s="460" t="s">
        <v>487</v>
      </c>
      <c r="Q2" s="460"/>
    </row>
    <row r="3" spans="1:19" ht="27.75" customHeight="1" x14ac:dyDescent="0.1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42"/>
      <c r="O3" s="42"/>
      <c r="P3" s="32"/>
      <c r="Q3" s="32"/>
    </row>
    <row r="4" spans="1:19" ht="27.75" customHeight="1" x14ac:dyDescent="0.1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42"/>
      <c r="O4" s="42"/>
      <c r="P4" s="32"/>
      <c r="Q4" s="32"/>
    </row>
    <row r="5" spans="1:19" ht="27.75" customHeight="1" x14ac:dyDescent="0.1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42"/>
      <c r="O5" s="42"/>
      <c r="P5" s="32"/>
      <c r="Q5" s="32"/>
    </row>
    <row r="6" spans="1:19" ht="27.75" customHeight="1" x14ac:dyDescent="0.15">
      <c r="B6" s="48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42"/>
      <c r="O6" s="42"/>
      <c r="P6" s="32"/>
      <c r="Q6" s="32"/>
    </row>
    <row r="7" spans="1:19" ht="27.75" customHeight="1" x14ac:dyDescent="0.1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42"/>
      <c r="O7" s="42"/>
      <c r="P7" s="32"/>
      <c r="Q7" s="32"/>
    </row>
    <row r="8" spans="1:19" ht="25.5" x14ac:dyDescent="0.15">
      <c r="A8" s="458" t="s">
        <v>478</v>
      </c>
      <c r="B8" s="458"/>
      <c r="C8" s="458"/>
      <c r="D8" s="458"/>
      <c r="E8" s="458"/>
      <c r="F8" s="458"/>
      <c r="G8" s="458"/>
      <c r="H8" s="458"/>
      <c r="I8" s="458"/>
      <c r="J8" s="458"/>
      <c r="K8" s="458"/>
      <c r="L8" s="458"/>
      <c r="M8" s="458"/>
      <c r="N8" s="458"/>
      <c r="O8" s="458"/>
      <c r="P8" s="458"/>
      <c r="Q8" s="458"/>
      <c r="R8" s="43"/>
      <c r="S8" s="43"/>
    </row>
    <row r="9" spans="1:19" x14ac:dyDescent="0.1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9" ht="28.5" x14ac:dyDescent="0.15">
      <c r="A10" s="455" t="s">
        <v>306</v>
      </c>
      <c r="B10" s="455"/>
      <c r="C10" s="455"/>
      <c r="D10" s="455"/>
      <c r="E10" s="455"/>
      <c r="F10" s="455"/>
      <c r="G10" s="455"/>
      <c r="H10" s="455"/>
      <c r="I10" s="455"/>
      <c r="J10" s="455"/>
      <c r="K10" s="455"/>
      <c r="L10" s="455"/>
      <c r="M10" s="455"/>
      <c r="N10" s="455"/>
      <c r="O10" s="455"/>
      <c r="P10" s="455"/>
      <c r="Q10" s="455"/>
      <c r="R10" s="44"/>
      <c r="S10" s="44"/>
    </row>
    <row r="11" spans="1:19" x14ac:dyDescent="0.15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spans="1:19" ht="28.5" x14ac:dyDescent="0.15">
      <c r="A12" s="455" t="s">
        <v>309</v>
      </c>
      <c r="B12" s="455"/>
      <c r="C12" s="455"/>
      <c r="D12" s="455"/>
      <c r="E12" s="455"/>
      <c r="F12" s="455"/>
      <c r="G12" s="455"/>
      <c r="H12" s="455"/>
      <c r="I12" s="455"/>
      <c r="J12" s="455"/>
      <c r="K12" s="455"/>
      <c r="L12" s="455"/>
      <c r="M12" s="455"/>
      <c r="N12" s="455"/>
      <c r="O12" s="455"/>
      <c r="P12" s="455"/>
      <c r="Q12" s="455"/>
      <c r="R12" s="43"/>
      <c r="S12" s="43"/>
    </row>
    <row r="13" spans="1:19" x14ac:dyDescent="0.1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</row>
    <row r="14" spans="1:19" x14ac:dyDescent="0.1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</row>
    <row r="15" spans="1:19" x14ac:dyDescent="0.15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</row>
    <row r="16" spans="1:19" x14ac:dyDescent="0.15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</row>
    <row r="17" spans="1:15" x14ac:dyDescent="0.15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</row>
    <row r="18" spans="1:15" x14ac:dyDescent="0.15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</row>
    <row r="19" spans="1:15" x14ac:dyDescent="0.1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</row>
    <row r="20" spans="1:15" x14ac:dyDescent="0.15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</row>
    <row r="21" spans="1:15" x14ac:dyDescent="0.1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</row>
    <row r="22" spans="1:15" x14ac:dyDescent="0.15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</row>
    <row r="23" spans="1:15" x14ac:dyDescent="0.15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x14ac:dyDescent="0.15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</row>
    <row r="25" spans="1:15" x14ac:dyDescent="0.15">
      <c r="A25" s="39"/>
      <c r="B25" s="39"/>
      <c r="C25" s="39"/>
      <c r="D25" s="39"/>
      <c r="E25" s="449" t="s">
        <v>463</v>
      </c>
      <c r="F25" s="450"/>
      <c r="G25" s="451"/>
      <c r="H25" s="456" t="s">
        <v>334</v>
      </c>
      <c r="I25" s="39"/>
      <c r="J25" s="39"/>
      <c r="K25" s="39"/>
      <c r="L25" s="39"/>
      <c r="M25" s="39"/>
      <c r="N25" s="39"/>
      <c r="O25" s="39"/>
    </row>
    <row r="26" spans="1:15" ht="18.75" customHeight="1" x14ac:dyDescent="0.15">
      <c r="A26" s="39"/>
      <c r="B26" s="39"/>
      <c r="C26" s="39"/>
      <c r="D26" s="39"/>
      <c r="E26" s="450"/>
      <c r="F26" s="450"/>
      <c r="G26" s="451"/>
      <c r="H26" s="457"/>
      <c r="I26" s="39"/>
      <c r="J26" s="39"/>
      <c r="K26" s="39"/>
      <c r="L26" s="39"/>
      <c r="M26" s="39"/>
      <c r="N26" s="39"/>
      <c r="O26" s="39"/>
    </row>
    <row r="27" spans="1:15" x14ac:dyDescent="0.15">
      <c r="A27" s="39"/>
      <c r="B27" s="39"/>
      <c r="C27" s="39"/>
      <c r="D27" s="39"/>
      <c r="E27" s="39"/>
      <c r="F27" s="39"/>
      <c r="H27" s="39"/>
      <c r="I27" s="39"/>
      <c r="J27" s="39"/>
      <c r="K27" s="39"/>
      <c r="L27" s="39"/>
      <c r="M27" s="39"/>
      <c r="N27" s="39"/>
      <c r="O27" s="39"/>
    </row>
    <row r="28" spans="1:15" ht="24.95" customHeight="1" x14ac:dyDescent="0.15">
      <c r="A28" s="47"/>
      <c r="B28" s="47"/>
      <c r="C28" s="47"/>
      <c r="D28" s="47"/>
      <c r="E28" s="449" t="s">
        <v>464</v>
      </c>
      <c r="F28" s="450"/>
      <c r="G28" s="451"/>
      <c r="H28" s="46" t="s">
        <v>335</v>
      </c>
      <c r="I28" s="48"/>
      <c r="J28" s="48"/>
      <c r="K28" s="48"/>
      <c r="L28" s="48"/>
      <c r="M28" s="48"/>
      <c r="N28" s="49"/>
      <c r="O28" s="47"/>
    </row>
    <row r="29" spans="1:15" ht="24.95" customHeight="1" x14ac:dyDescent="0.15">
      <c r="A29" s="47"/>
      <c r="B29" s="47"/>
      <c r="C29" s="47"/>
      <c r="D29" s="47"/>
      <c r="E29" s="449" t="s">
        <v>476</v>
      </c>
      <c r="F29" s="450"/>
      <c r="G29" s="451"/>
      <c r="H29" s="46"/>
      <c r="I29" s="48"/>
      <c r="J29" s="48"/>
      <c r="K29" s="48"/>
      <c r="L29" s="48"/>
      <c r="M29" s="48"/>
      <c r="N29" s="49"/>
      <c r="O29" s="47"/>
    </row>
    <row r="30" spans="1:15" ht="13.5" customHeight="1" x14ac:dyDescent="0.15">
      <c r="A30" s="47"/>
      <c r="B30" s="47"/>
      <c r="C30" s="47"/>
      <c r="D30" s="47"/>
      <c r="E30" s="45"/>
      <c r="F30" s="45"/>
      <c r="H30" s="46"/>
      <c r="I30" s="50"/>
      <c r="J30" s="50"/>
      <c r="K30" s="50"/>
      <c r="L30" s="50"/>
      <c r="M30" s="50"/>
      <c r="N30" s="49"/>
      <c r="O30" s="47"/>
    </row>
    <row r="31" spans="1:15" ht="24.95" customHeight="1" x14ac:dyDescent="0.15">
      <c r="A31" s="47"/>
      <c r="B31" s="47"/>
      <c r="C31" s="47"/>
      <c r="D31" s="47"/>
      <c r="E31" s="449" t="s">
        <v>33</v>
      </c>
      <c r="F31" s="450"/>
      <c r="G31" s="451"/>
      <c r="H31" s="46" t="s">
        <v>32</v>
      </c>
      <c r="I31" s="446"/>
      <c r="J31" s="446"/>
      <c r="K31" s="446"/>
      <c r="L31" s="446"/>
      <c r="M31" s="446"/>
      <c r="N31" s="49"/>
      <c r="O31" s="47"/>
    </row>
    <row r="32" spans="1:15" x14ac:dyDescent="0.15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x14ac:dyDescent="0.15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x14ac:dyDescent="0.15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x14ac:dyDescent="0.15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x14ac:dyDescent="0.15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</sheetData>
  <mergeCells count="13">
    <mergeCell ref="E29:G29"/>
    <mergeCell ref="E31:G31"/>
    <mergeCell ref="A1:D1"/>
    <mergeCell ref="A10:Q10"/>
    <mergeCell ref="A12:Q12"/>
    <mergeCell ref="H25:H26"/>
    <mergeCell ref="E25:G26"/>
    <mergeCell ref="E28:G28"/>
    <mergeCell ref="A8:Q8"/>
    <mergeCell ref="N1:O1"/>
    <mergeCell ref="P1:Q1"/>
    <mergeCell ref="N2:O2"/>
    <mergeCell ref="P2:Q2"/>
  </mergeCells>
  <phoneticPr fontId="11"/>
  <printOptions horizontalCentered="1" verticalCentered="1"/>
  <pageMargins left="0.59055118110236227" right="0.47" top="0.6" bottom="0.98425196850393704" header="0.51181102362204722" footer="0.51181102362204722"/>
  <pageSetup paperSize="9" scale="80" firstPageNumber="65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34"/>
  </sheetPr>
  <dimension ref="A1:X55"/>
  <sheetViews>
    <sheetView view="pageBreakPreview" zoomScaleNormal="75" zoomScaleSheetLayoutView="100" workbookViewId="0">
      <selection activeCell="H8" sqref="H8"/>
    </sheetView>
  </sheetViews>
  <sheetFormatPr defaultRowHeight="18" customHeight="1" x14ac:dyDescent="0.15"/>
  <cols>
    <col min="1" max="1" width="3.625" style="150" customWidth="1"/>
    <col min="2" max="2" width="5.625" style="150" customWidth="1"/>
    <col min="3" max="11" width="10.625" style="150" customWidth="1"/>
    <col min="12" max="16384" width="9" style="150"/>
  </cols>
  <sheetData>
    <row r="1" spans="1:7" ht="18" customHeight="1" x14ac:dyDescent="0.15">
      <c r="A1" s="777" t="s">
        <v>98</v>
      </c>
      <c r="B1" s="777"/>
      <c r="C1" s="777"/>
      <c r="D1" s="777"/>
      <c r="E1" s="777"/>
      <c r="F1" s="777"/>
    </row>
    <row r="2" spans="1:7" ht="18" customHeight="1" x14ac:dyDescent="0.15">
      <c r="A2" s="777" t="s">
        <v>288</v>
      </c>
      <c r="B2" s="777"/>
      <c r="C2" s="777"/>
      <c r="D2" s="777"/>
      <c r="E2" s="777"/>
      <c r="F2" s="777"/>
    </row>
    <row r="3" spans="1:7" ht="18" customHeight="1" x14ac:dyDescent="0.15">
      <c r="F3" s="150" t="s">
        <v>99</v>
      </c>
    </row>
    <row r="4" spans="1:7" ht="18" customHeight="1" x14ac:dyDescent="0.15">
      <c r="A4" s="778" t="s">
        <v>100</v>
      </c>
      <c r="B4" s="778"/>
      <c r="C4" s="778"/>
      <c r="D4" s="778"/>
      <c r="E4" s="778"/>
      <c r="F4" s="151" t="s">
        <v>372</v>
      </c>
      <c r="G4" s="152"/>
    </row>
    <row r="5" spans="1:7" ht="18" customHeight="1" x14ac:dyDescent="0.15">
      <c r="A5" s="153" t="s">
        <v>101</v>
      </c>
      <c r="B5" s="775" t="s">
        <v>102</v>
      </c>
      <c r="C5" s="775"/>
      <c r="D5" s="775"/>
      <c r="E5" s="775"/>
      <c r="F5" s="155">
        <f>目標収支計画!C5</f>
        <v>9500</v>
      </c>
      <c r="G5" s="156"/>
    </row>
    <row r="6" spans="1:7" ht="18" customHeight="1" x14ac:dyDescent="0.15">
      <c r="A6" s="153" t="s">
        <v>103</v>
      </c>
      <c r="B6" s="776" t="s">
        <v>104</v>
      </c>
      <c r="C6" s="776"/>
      <c r="D6" s="776"/>
      <c r="E6" s="776"/>
      <c r="F6" s="155">
        <v>277</v>
      </c>
      <c r="G6" s="156"/>
    </row>
    <row r="7" spans="1:7" ht="18" customHeight="1" x14ac:dyDescent="0.15">
      <c r="A7" s="157" t="s">
        <v>105</v>
      </c>
      <c r="B7" s="776" t="s">
        <v>106</v>
      </c>
      <c r="C7" s="776"/>
      <c r="D7" s="776"/>
      <c r="E7" s="776"/>
      <c r="F7" s="155">
        <f>F5*F6</f>
        <v>2631500</v>
      </c>
      <c r="G7" s="156"/>
    </row>
    <row r="8" spans="1:7" ht="18" customHeight="1" x14ac:dyDescent="0.15">
      <c r="A8" s="151"/>
      <c r="B8" s="776" t="s">
        <v>107</v>
      </c>
      <c r="C8" s="776"/>
      <c r="D8" s="776"/>
      <c r="E8" s="776"/>
      <c r="F8" s="155">
        <f>ピーマン積算根拠!M8</f>
        <v>7992</v>
      </c>
      <c r="G8" s="156"/>
    </row>
    <row r="9" spans="1:7" ht="18" customHeight="1" x14ac:dyDescent="0.15">
      <c r="A9" s="153"/>
      <c r="B9" s="776" t="s">
        <v>108</v>
      </c>
      <c r="C9" s="776"/>
      <c r="D9" s="776"/>
      <c r="E9" s="776"/>
      <c r="F9" s="155">
        <f>ピーマン積算根拠!M24</f>
        <v>93231</v>
      </c>
      <c r="G9" s="156"/>
    </row>
    <row r="10" spans="1:7" ht="18" customHeight="1" x14ac:dyDescent="0.15">
      <c r="A10" s="153" t="s">
        <v>109</v>
      </c>
      <c r="B10" s="776" t="s">
        <v>110</v>
      </c>
      <c r="C10" s="776"/>
      <c r="D10" s="776"/>
      <c r="E10" s="776"/>
      <c r="F10" s="155">
        <f>ピーマン積算根拠!M37</f>
        <v>31968</v>
      </c>
      <c r="G10" s="156"/>
    </row>
    <row r="11" spans="1:7" ht="18" customHeight="1" x14ac:dyDescent="0.15">
      <c r="A11" s="153"/>
      <c r="B11" s="776" t="s">
        <v>111</v>
      </c>
      <c r="C11" s="776"/>
      <c r="D11" s="776"/>
      <c r="E11" s="776"/>
      <c r="F11" s="155">
        <f>ピーマン積算根拠!M48</f>
        <v>21450</v>
      </c>
      <c r="G11" s="156"/>
    </row>
    <row r="12" spans="1:7" ht="18" customHeight="1" x14ac:dyDescent="0.15">
      <c r="A12" s="153"/>
      <c r="B12" s="776" t="s">
        <v>112</v>
      </c>
      <c r="C12" s="776"/>
      <c r="D12" s="776"/>
      <c r="E12" s="776"/>
      <c r="F12" s="155">
        <f>ピーマン積算根拠!M65</f>
        <v>95148</v>
      </c>
      <c r="G12" s="156"/>
    </row>
    <row r="13" spans="1:7" ht="18" customHeight="1" x14ac:dyDescent="0.15">
      <c r="A13" s="153"/>
      <c r="B13" s="776" t="s">
        <v>113</v>
      </c>
      <c r="C13" s="776"/>
      <c r="D13" s="776"/>
      <c r="E13" s="776"/>
      <c r="F13" s="155">
        <v>0</v>
      </c>
      <c r="G13" s="156"/>
    </row>
    <row r="14" spans="1:7" ht="18" customHeight="1" x14ac:dyDescent="0.15">
      <c r="A14" s="153"/>
      <c r="B14" s="776" t="s">
        <v>114</v>
      </c>
      <c r="C14" s="776"/>
      <c r="D14" s="776"/>
      <c r="E14" s="776"/>
      <c r="F14" s="155">
        <f>目標収支計画!E19</f>
        <v>293000</v>
      </c>
      <c r="G14" s="156"/>
    </row>
    <row r="15" spans="1:7" ht="18" customHeight="1" x14ac:dyDescent="0.15">
      <c r="A15" s="785" t="s">
        <v>115</v>
      </c>
      <c r="B15" s="779" t="s">
        <v>116</v>
      </c>
      <c r="C15" s="780"/>
      <c r="D15" s="780"/>
      <c r="E15" s="781"/>
      <c r="F15" s="155">
        <f>SUM(F16:F18)</f>
        <v>11250</v>
      </c>
      <c r="G15" s="156"/>
    </row>
    <row r="16" spans="1:7" ht="18" customHeight="1" x14ac:dyDescent="0.15">
      <c r="A16" s="785"/>
      <c r="B16" s="158"/>
      <c r="C16" s="782" t="s">
        <v>117</v>
      </c>
      <c r="D16" s="783"/>
      <c r="E16" s="784"/>
      <c r="F16" s="155">
        <v>0</v>
      </c>
      <c r="G16" s="156"/>
    </row>
    <row r="17" spans="1:24" ht="18" customHeight="1" x14ac:dyDescent="0.15">
      <c r="A17" s="153"/>
      <c r="B17" s="158"/>
      <c r="C17" s="782" t="s">
        <v>118</v>
      </c>
      <c r="D17" s="783"/>
      <c r="E17" s="784"/>
      <c r="F17" s="155">
        <f>目標収支計画!E20</f>
        <v>11250</v>
      </c>
      <c r="G17" s="156"/>
      <c r="S17" s="150" t="s">
        <v>119</v>
      </c>
      <c r="T17" s="150" t="s">
        <v>120</v>
      </c>
      <c r="U17" s="150" t="s">
        <v>121</v>
      </c>
      <c r="V17" s="150" t="s">
        <v>122</v>
      </c>
    </row>
    <row r="18" spans="1:24" ht="18" customHeight="1" x14ac:dyDescent="0.15">
      <c r="A18" s="153"/>
      <c r="B18" s="159"/>
      <c r="C18" s="782" t="s">
        <v>123</v>
      </c>
      <c r="D18" s="783"/>
      <c r="E18" s="784"/>
      <c r="F18" s="155">
        <v>0</v>
      </c>
      <c r="G18" s="156"/>
      <c r="R18" s="150" t="s">
        <v>124</v>
      </c>
      <c r="S18" s="150">
        <v>45</v>
      </c>
      <c r="T18" s="150">
        <v>1300</v>
      </c>
      <c r="U18" s="160">
        <v>0.95</v>
      </c>
      <c r="V18" s="150">
        <v>1</v>
      </c>
    </row>
    <row r="19" spans="1:24" ht="18" customHeight="1" x14ac:dyDescent="0.15">
      <c r="A19" s="153"/>
      <c r="B19" s="776" t="s">
        <v>125</v>
      </c>
      <c r="C19" s="776"/>
      <c r="D19" s="776"/>
      <c r="E19" s="776"/>
      <c r="F19" s="155">
        <f>ピーマン積算根拠!K81</f>
        <v>29700</v>
      </c>
      <c r="G19" s="156"/>
      <c r="T19" s="150">
        <f>S18*T18</f>
        <v>58500</v>
      </c>
    </row>
    <row r="20" spans="1:24" ht="18" customHeight="1" x14ac:dyDescent="0.15">
      <c r="A20" s="153"/>
      <c r="B20" s="776" t="s">
        <v>126</v>
      </c>
      <c r="C20" s="776"/>
      <c r="D20" s="776"/>
      <c r="E20" s="776"/>
      <c r="F20" s="155">
        <v>0</v>
      </c>
      <c r="G20" s="156"/>
    </row>
    <row r="21" spans="1:24" ht="18" customHeight="1" x14ac:dyDescent="0.15">
      <c r="A21" s="153" t="s">
        <v>127</v>
      </c>
      <c r="B21" s="776" t="s">
        <v>128</v>
      </c>
      <c r="C21" s="776"/>
      <c r="D21" s="776"/>
      <c r="E21" s="776"/>
      <c r="F21" s="155">
        <v>0</v>
      </c>
      <c r="G21" s="156"/>
      <c r="S21" s="150" t="s">
        <v>129</v>
      </c>
    </row>
    <row r="22" spans="1:24" ht="18" customHeight="1" x14ac:dyDescent="0.15">
      <c r="A22" s="153"/>
      <c r="B22" s="776" t="s">
        <v>130</v>
      </c>
      <c r="C22" s="776"/>
      <c r="D22" s="776"/>
      <c r="E22" s="776"/>
      <c r="F22" s="155">
        <f>SUM(目標収支計画!K5:L8,目標収支計画!M5:N8,目標収支計画!O5:P8,目標収支計画!Q5:R8)</f>
        <v>673122.5</v>
      </c>
      <c r="G22" s="156"/>
    </row>
    <row r="23" spans="1:24" ht="18" customHeight="1" x14ac:dyDescent="0.15">
      <c r="A23" s="157"/>
      <c r="B23" s="776" t="s">
        <v>131</v>
      </c>
      <c r="C23" s="776"/>
      <c r="D23" s="776"/>
      <c r="E23" s="776"/>
      <c r="F23" s="155">
        <f>SUM(F8:F15,F19:F22)</f>
        <v>1256861.5</v>
      </c>
      <c r="G23" s="156"/>
    </row>
    <row r="24" spans="1:24" ht="18" customHeight="1" x14ac:dyDescent="0.15">
      <c r="A24" s="161"/>
      <c r="B24" s="776" t="s">
        <v>132</v>
      </c>
      <c r="C24" s="776"/>
      <c r="D24" s="776"/>
      <c r="E24" s="776"/>
      <c r="F24" s="155">
        <f>S25</f>
        <v>670320</v>
      </c>
      <c r="G24" s="768" t="s">
        <v>282</v>
      </c>
      <c r="H24" s="769"/>
      <c r="I24" s="769"/>
      <c r="M24" s="162"/>
      <c r="N24" s="162"/>
      <c r="O24" s="162"/>
      <c r="P24" s="162"/>
      <c r="Q24" s="162"/>
      <c r="S24" s="150" t="s">
        <v>238</v>
      </c>
      <c r="T24" s="162"/>
      <c r="U24" s="162"/>
      <c r="V24" s="162"/>
      <c r="W24" s="162"/>
      <c r="X24" s="162"/>
    </row>
    <row r="25" spans="1:24" ht="18" customHeight="1" x14ac:dyDescent="0.15">
      <c r="A25" s="163"/>
      <c r="B25" s="776" t="s">
        <v>133</v>
      </c>
      <c r="C25" s="776"/>
      <c r="D25" s="776"/>
      <c r="E25" s="776"/>
      <c r="F25" s="155">
        <v>0</v>
      </c>
      <c r="G25" s="156"/>
      <c r="M25" s="162"/>
      <c r="N25" s="162"/>
      <c r="O25" s="162"/>
      <c r="P25" s="162"/>
      <c r="Q25" s="162"/>
      <c r="S25" s="162">
        <f>1064*630</f>
        <v>670320</v>
      </c>
      <c r="T25" s="162"/>
      <c r="U25" s="162"/>
      <c r="V25" s="162"/>
      <c r="W25" s="162"/>
      <c r="X25" s="162"/>
    </row>
    <row r="26" spans="1:24" ht="18" customHeight="1" x14ac:dyDescent="0.15">
      <c r="A26" s="163"/>
      <c r="B26" s="782" t="s">
        <v>134</v>
      </c>
      <c r="C26" s="783"/>
      <c r="D26" s="783"/>
      <c r="E26" s="784"/>
      <c r="F26" s="155">
        <f>(K29+K30)/2*(0.02*1)+(K31*(0.02*1))</f>
        <v>12428.09</v>
      </c>
      <c r="G26" s="156"/>
    </row>
    <row r="27" spans="1:24" ht="18" customHeight="1" x14ac:dyDescent="0.15">
      <c r="A27" s="163"/>
      <c r="B27" s="789" t="s">
        <v>135</v>
      </c>
      <c r="C27" s="789"/>
      <c r="D27" s="789"/>
      <c r="E27" s="789"/>
      <c r="F27" s="161">
        <f>F25</f>
        <v>0</v>
      </c>
      <c r="G27" s="156"/>
      <c r="H27" s="771" t="s">
        <v>136</v>
      </c>
      <c r="I27" s="771"/>
      <c r="J27" s="771"/>
      <c r="K27" s="771"/>
    </row>
    <row r="28" spans="1:24" ht="18" customHeight="1" x14ac:dyDescent="0.15">
      <c r="A28" s="154"/>
      <c r="B28" s="775" t="s">
        <v>373</v>
      </c>
      <c r="C28" s="775"/>
      <c r="D28" s="775"/>
      <c r="E28" s="775"/>
      <c r="F28" s="154">
        <f>F23+F25+F26</f>
        <v>1269289.5900000001</v>
      </c>
      <c r="G28" s="156"/>
      <c r="H28" s="772"/>
      <c r="I28" s="773"/>
      <c r="J28" s="774"/>
      <c r="K28" s="164" t="s">
        <v>283</v>
      </c>
    </row>
    <row r="29" spans="1:24" ht="18" customHeight="1" x14ac:dyDescent="0.15">
      <c r="A29" s="786" t="s">
        <v>137</v>
      </c>
      <c r="B29" s="776" t="s">
        <v>138</v>
      </c>
      <c r="C29" s="776"/>
      <c r="D29" s="776"/>
      <c r="E29" s="776"/>
      <c r="F29" s="776">
        <f>100-((F28-(F15+F13+F25))/F7)*100</f>
        <v>52.193061371841154</v>
      </c>
      <c r="G29" s="156"/>
      <c r="H29" s="770" t="s">
        <v>139</v>
      </c>
      <c r="I29" s="770"/>
      <c r="J29" s="770"/>
      <c r="K29" s="155">
        <f>F23-F15-F21-F22</f>
        <v>572489</v>
      </c>
    </row>
    <row r="30" spans="1:24" ht="18" customHeight="1" x14ac:dyDescent="0.15">
      <c r="A30" s="787"/>
      <c r="B30" s="776"/>
      <c r="C30" s="776"/>
      <c r="D30" s="776"/>
      <c r="E30" s="776"/>
      <c r="F30" s="776"/>
      <c r="G30" s="156"/>
      <c r="H30" s="770" t="s">
        <v>140</v>
      </c>
      <c r="I30" s="770"/>
      <c r="J30" s="770"/>
      <c r="K30" s="155">
        <f>F21+F24</f>
        <v>670320</v>
      </c>
    </row>
    <row r="31" spans="1:24" ht="18" customHeight="1" x14ac:dyDescent="0.15">
      <c r="A31" s="787"/>
      <c r="B31" s="776" t="s">
        <v>141</v>
      </c>
      <c r="C31" s="776"/>
      <c r="D31" s="776"/>
      <c r="E31" s="776"/>
      <c r="F31" s="776">
        <f>100-((100-F29)*0.274)</f>
        <v>86.900898815884474</v>
      </c>
      <c r="G31" s="156"/>
      <c r="H31" s="770" t="s">
        <v>142</v>
      </c>
      <c r="I31" s="770"/>
      <c r="J31" s="770"/>
      <c r="K31" s="155">
        <v>0</v>
      </c>
    </row>
    <row r="32" spans="1:24" ht="18" customHeight="1" x14ac:dyDescent="0.15">
      <c r="A32" s="788"/>
      <c r="B32" s="776"/>
      <c r="C32" s="776"/>
      <c r="D32" s="776"/>
      <c r="E32" s="776"/>
      <c r="F32" s="776"/>
      <c r="G32" s="156"/>
      <c r="H32" s="770" t="s">
        <v>143</v>
      </c>
      <c r="I32" s="770"/>
      <c r="J32" s="770"/>
      <c r="K32" s="155">
        <f>(K29+K30)/2*(0.02*1)+K31*(0.02*1)</f>
        <v>12428.09</v>
      </c>
    </row>
    <row r="34" spans="1:18" ht="18" customHeight="1" x14ac:dyDescent="0.15">
      <c r="A34" s="777"/>
      <c r="B34" s="777"/>
      <c r="C34" s="777"/>
      <c r="D34" s="777"/>
      <c r="E34" s="777"/>
      <c r="F34" s="777"/>
    </row>
    <row r="35" spans="1:18" ht="18" customHeight="1" x14ac:dyDescent="0.15">
      <c r="A35" s="165" t="s">
        <v>374</v>
      </c>
      <c r="B35" s="150" t="s">
        <v>144</v>
      </c>
    </row>
    <row r="36" spans="1:18" ht="18" customHeight="1" x14ac:dyDescent="0.15">
      <c r="A36" s="165"/>
      <c r="B36" s="150" t="s">
        <v>145</v>
      </c>
    </row>
    <row r="37" spans="1:18" ht="18" customHeight="1" x14ac:dyDescent="0.15">
      <c r="A37" s="166"/>
      <c r="B37" s="167">
        <v>100</v>
      </c>
      <c r="C37" s="168">
        <f>F28</f>
        <v>1269289.5900000001</v>
      </c>
      <c r="D37" s="169">
        <f>F15</f>
        <v>11250</v>
      </c>
      <c r="E37" s="170">
        <f>F13</f>
        <v>0</v>
      </c>
      <c r="F37" s="171">
        <f>F25</f>
        <v>0</v>
      </c>
      <c r="G37" s="172">
        <f>F7</f>
        <v>2631500</v>
      </c>
      <c r="H37" s="173">
        <v>100</v>
      </c>
      <c r="I37" s="174">
        <f>F29</f>
        <v>52.193061371841154</v>
      </c>
      <c r="J37" s="175"/>
      <c r="K37" s="172"/>
      <c r="L37" s="172"/>
      <c r="M37" s="172"/>
      <c r="N37" s="172"/>
      <c r="O37" s="172"/>
      <c r="P37" s="172"/>
      <c r="Q37" s="172"/>
      <c r="R37" s="172"/>
    </row>
    <row r="38" spans="1:18" ht="18" customHeight="1" x14ac:dyDescent="0.15">
      <c r="A38" s="165" t="s">
        <v>375</v>
      </c>
      <c r="B38" s="150" t="s">
        <v>143</v>
      </c>
    </row>
    <row r="39" spans="1:18" ht="18" customHeight="1" x14ac:dyDescent="0.15">
      <c r="A39" s="165"/>
      <c r="B39" s="150" t="s">
        <v>146</v>
      </c>
    </row>
    <row r="40" spans="1:18" ht="18" customHeight="1" x14ac:dyDescent="0.15">
      <c r="A40" s="165"/>
      <c r="C40" s="176">
        <f>K29</f>
        <v>572489</v>
      </c>
      <c r="D40" s="177">
        <f>K30</f>
        <v>670320</v>
      </c>
      <c r="E40" s="178">
        <v>2</v>
      </c>
      <c r="F40" s="179">
        <v>0.02</v>
      </c>
      <c r="G40" s="180">
        <v>1</v>
      </c>
      <c r="H40" s="181">
        <f>K31</f>
        <v>0</v>
      </c>
      <c r="I40" s="182">
        <v>0.02</v>
      </c>
      <c r="J40" s="180">
        <v>1</v>
      </c>
      <c r="K40" s="183">
        <f>K32</f>
        <v>12428.09</v>
      </c>
    </row>
    <row r="41" spans="1:18" ht="18" customHeight="1" x14ac:dyDescent="0.15">
      <c r="A41" s="165" t="s">
        <v>376</v>
      </c>
      <c r="B41" s="150" t="s">
        <v>327</v>
      </c>
    </row>
    <row r="42" spans="1:18" ht="18" customHeight="1" x14ac:dyDescent="0.15">
      <c r="A42" s="165" t="s">
        <v>377</v>
      </c>
      <c r="B42" s="150" t="s">
        <v>147</v>
      </c>
    </row>
    <row r="43" spans="1:18" ht="18" customHeight="1" x14ac:dyDescent="0.15">
      <c r="A43" s="165"/>
      <c r="C43" s="184">
        <f>F23</f>
        <v>1256861.5</v>
      </c>
      <c r="D43" s="185">
        <f>F15</f>
        <v>11250</v>
      </c>
      <c r="E43" s="186">
        <f>F21</f>
        <v>0</v>
      </c>
      <c r="F43" s="184">
        <f>F22</f>
        <v>673122.5</v>
      </c>
      <c r="G43" s="183">
        <f>K29</f>
        <v>572489</v>
      </c>
    </row>
    <row r="44" spans="1:18" ht="18" customHeight="1" x14ac:dyDescent="0.15">
      <c r="A44" s="165" t="s">
        <v>378</v>
      </c>
      <c r="B44" s="150" t="s">
        <v>148</v>
      </c>
    </row>
    <row r="45" spans="1:18" ht="18" customHeight="1" x14ac:dyDescent="0.15">
      <c r="A45" s="165"/>
      <c r="C45" s="187">
        <f>F21</f>
        <v>0</v>
      </c>
      <c r="D45" s="188">
        <f>F24</f>
        <v>670320</v>
      </c>
      <c r="E45" s="150">
        <f>K30</f>
        <v>670320</v>
      </c>
    </row>
    <row r="46" spans="1:18" ht="18" customHeight="1" x14ac:dyDescent="0.15">
      <c r="A46" s="165" t="s">
        <v>379</v>
      </c>
      <c r="B46" s="150" t="s">
        <v>149</v>
      </c>
    </row>
    <row r="47" spans="1:18" ht="18" customHeight="1" x14ac:dyDescent="0.15">
      <c r="A47" s="165"/>
      <c r="B47" s="165"/>
      <c r="C47" s="150" t="s">
        <v>328</v>
      </c>
    </row>
    <row r="48" spans="1:18" ht="18" customHeight="1" x14ac:dyDescent="0.15">
      <c r="A48" s="165"/>
    </row>
    <row r="49" spans="1:2" ht="18" customHeight="1" x14ac:dyDescent="0.15">
      <c r="A49" s="165"/>
    </row>
    <row r="50" spans="1:2" ht="18" customHeight="1" x14ac:dyDescent="0.15">
      <c r="A50" s="165"/>
      <c r="B50" s="165"/>
    </row>
    <row r="51" spans="1:2" ht="18" customHeight="1" x14ac:dyDescent="0.15">
      <c r="A51" s="165"/>
    </row>
    <row r="52" spans="1:2" ht="18" customHeight="1" x14ac:dyDescent="0.15">
      <c r="A52" s="165"/>
    </row>
    <row r="53" spans="1:2" ht="18" customHeight="1" x14ac:dyDescent="0.15">
      <c r="A53" s="165"/>
    </row>
    <row r="54" spans="1:2" ht="18" customHeight="1" x14ac:dyDescent="0.15">
      <c r="A54" s="165"/>
    </row>
    <row r="55" spans="1:2" ht="18" customHeight="1" x14ac:dyDescent="0.15">
      <c r="A55" s="165"/>
    </row>
  </sheetData>
  <mergeCells count="41">
    <mergeCell ref="A29:A32"/>
    <mergeCell ref="F29:F30"/>
    <mergeCell ref="F31:F32"/>
    <mergeCell ref="A34:F34"/>
    <mergeCell ref="B27:E27"/>
    <mergeCell ref="B28:E28"/>
    <mergeCell ref="B29:E30"/>
    <mergeCell ref="B31:E32"/>
    <mergeCell ref="B24:E24"/>
    <mergeCell ref="B25:E25"/>
    <mergeCell ref="B26:E26"/>
    <mergeCell ref="A15:A16"/>
    <mergeCell ref="B20:E20"/>
    <mergeCell ref="B21:E21"/>
    <mergeCell ref="B22:E22"/>
    <mergeCell ref="B23:E23"/>
    <mergeCell ref="C16:E16"/>
    <mergeCell ref="C17:E17"/>
    <mergeCell ref="C18:E18"/>
    <mergeCell ref="B19:E19"/>
    <mergeCell ref="B12:E12"/>
    <mergeCell ref="B13:E13"/>
    <mergeCell ref="B14:E14"/>
    <mergeCell ref="B15:E15"/>
    <mergeCell ref="B8:E8"/>
    <mergeCell ref="B9:E9"/>
    <mergeCell ref="B10:E10"/>
    <mergeCell ref="B11:E11"/>
    <mergeCell ref="B5:E5"/>
    <mergeCell ref="B6:E6"/>
    <mergeCell ref="B7:E7"/>
    <mergeCell ref="A1:F1"/>
    <mergeCell ref="A2:F2"/>
    <mergeCell ref="A4:E4"/>
    <mergeCell ref="G24:I24"/>
    <mergeCell ref="H31:J31"/>
    <mergeCell ref="H32:J32"/>
    <mergeCell ref="H27:K27"/>
    <mergeCell ref="H28:J28"/>
    <mergeCell ref="H29:J29"/>
    <mergeCell ref="H30:J30"/>
  </mergeCells>
  <phoneticPr fontId="11"/>
  <printOptions horizontalCentered="1" verticalCentered="1"/>
  <pageMargins left="0.59055118110236227" right="0.47244094488188981" top="0.59055118110236227" bottom="0.98425196850393704" header="0.51181102362204722" footer="0.51181102362204722"/>
  <pageSetup paperSize="9" scale="89" firstPageNumber="6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indexed="34"/>
  </sheetPr>
  <dimension ref="B1:AG25"/>
  <sheetViews>
    <sheetView tabSelected="1" view="pageBreakPreview" zoomScale="85" zoomScaleNormal="100" workbookViewId="0">
      <selection activeCell="K6" sqref="K6"/>
    </sheetView>
  </sheetViews>
  <sheetFormatPr defaultRowHeight="13.5" x14ac:dyDescent="0.15"/>
  <cols>
    <col min="1" max="1" width="2.5" style="112" customWidth="1"/>
    <col min="2" max="2" width="21.5" style="112" customWidth="1"/>
    <col min="3" max="3" width="12.25" style="112" customWidth="1"/>
    <col min="4" max="4" width="14" style="112" customWidth="1"/>
    <col min="5" max="5" width="12.75" style="112" customWidth="1"/>
    <col min="6" max="7" width="12.375" style="112" customWidth="1"/>
    <col min="8" max="8" width="12.75" style="112" customWidth="1"/>
    <col min="9" max="9" width="11.75" style="112" customWidth="1"/>
    <col min="10" max="10" width="12.75" style="112" customWidth="1"/>
    <col min="11" max="12" width="11.75" style="112" customWidth="1"/>
    <col min="13" max="29" width="9" style="112"/>
    <col min="30" max="30" width="16.5" style="112" customWidth="1"/>
    <col min="31" max="31" width="22.875" style="112" customWidth="1"/>
    <col min="32" max="16384" width="9" style="112"/>
  </cols>
  <sheetData>
    <row r="1" spans="2:33" ht="18" customHeight="1" x14ac:dyDescent="0.15">
      <c r="B1" s="790" t="s">
        <v>488</v>
      </c>
      <c r="C1" s="790"/>
      <c r="D1" s="790"/>
      <c r="E1" s="790"/>
      <c r="F1" s="790"/>
      <c r="G1" s="790"/>
      <c r="H1" s="790"/>
      <c r="I1" s="790"/>
      <c r="J1" s="790"/>
      <c r="K1" s="790"/>
      <c r="L1" s="790"/>
    </row>
    <row r="2" spans="2:33" ht="18" customHeight="1" x14ac:dyDescent="0.15">
      <c r="B2" s="791" t="s">
        <v>329</v>
      </c>
      <c r="C2" s="791"/>
      <c r="D2" s="791"/>
      <c r="E2" s="791"/>
      <c r="F2" s="792"/>
      <c r="G2" s="113"/>
      <c r="H2" s="114"/>
      <c r="I2" s="114"/>
      <c r="J2" s="114"/>
      <c r="K2" s="114"/>
      <c r="L2" s="114"/>
    </row>
    <row r="3" spans="2:33" ht="18" customHeight="1" x14ac:dyDescent="0.15">
      <c r="B3" s="111" t="s">
        <v>150</v>
      </c>
      <c r="C3" s="111"/>
      <c r="D3" s="111"/>
      <c r="E3" s="111"/>
      <c r="F3" s="111"/>
      <c r="G3" s="115" t="s">
        <v>151</v>
      </c>
      <c r="H3" s="111"/>
      <c r="I3" s="111"/>
      <c r="J3" s="111"/>
      <c r="K3" s="111"/>
      <c r="L3" s="111"/>
    </row>
    <row r="4" spans="2:33" ht="18" customHeight="1" x14ac:dyDescent="0.15">
      <c r="B4" s="116" t="s">
        <v>152</v>
      </c>
      <c r="C4" s="793" t="s">
        <v>330</v>
      </c>
      <c r="D4" s="794"/>
      <c r="E4" s="795"/>
      <c r="F4" s="117"/>
      <c r="G4" s="118" t="s">
        <v>153</v>
      </c>
      <c r="H4" s="118" t="s">
        <v>154</v>
      </c>
      <c r="I4" s="118" t="s">
        <v>155</v>
      </c>
      <c r="J4" s="119" t="s">
        <v>156</v>
      </c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</row>
    <row r="5" spans="2:33" ht="18" customHeight="1" x14ac:dyDescent="0.15">
      <c r="B5" s="116" t="s">
        <v>157</v>
      </c>
      <c r="C5" s="120"/>
      <c r="D5" s="121">
        <f>'現況､事業計画(1)～(3)'!R29+800</f>
        <v>68164800</v>
      </c>
      <c r="E5" s="122" t="s">
        <v>158</v>
      </c>
      <c r="F5" s="123"/>
      <c r="G5" s="124">
        <f>ROUNDDOWN(D7/3*2,-3)</f>
        <v>41980000</v>
      </c>
      <c r="H5" s="124">
        <f>ROUNDDOWN((D7*75%)-G5,-3)</f>
        <v>5248000</v>
      </c>
      <c r="I5" s="125">
        <v>0</v>
      </c>
      <c r="J5" s="126">
        <f>SUM(G5:I5)</f>
        <v>47228000</v>
      </c>
      <c r="K5" s="1"/>
      <c r="L5" s="1"/>
      <c r="M5" s="1"/>
      <c r="N5" s="1"/>
      <c r="O5" s="127"/>
      <c r="P5" s="127"/>
      <c r="Q5" s="127"/>
      <c r="R5" s="1"/>
      <c r="S5" s="1"/>
      <c r="T5" s="2"/>
      <c r="U5" s="1"/>
      <c r="V5" s="1"/>
      <c r="W5" s="3"/>
      <c r="X5" s="4"/>
      <c r="Y5" s="5"/>
      <c r="Z5" s="128"/>
      <c r="AA5" s="114"/>
      <c r="AB5" s="114"/>
      <c r="AC5" s="114"/>
      <c r="AD5" s="114"/>
      <c r="AE5" s="114"/>
      <c r="AF5" s="114"/>
      <c r="AG5" s="114"/>
    </row>
    <row r="6" spans="2:33" ht="18" customHeight="1" x14ac:dyDescent="0.15">
      <c r="B6" s="116" t="s">
        <v>159</v>
      </c>
      <c r="C6" s="120"/>
      <c r="D6" s="121">
        <f>D5*8/105</f>
        <v>5193508.5714285718</v>
      </c>
      <c r="E6" s="129" t="s">
        <v>475</v>
      </c>
      <c r="F6" s="114"/>
      <c r="G6" s="130"/>
      <c r="H6" s="130"/>
      <c r="I6" s="130"/>
      <c r="J6" s="131"/>
      <c r="K6" s="6"/>
      <c r="L6" s="6"/>
      <c r="M6" s="6"/>
      <c r="N6" s="6"/>
      <c r="O6" s="6"/>
      <c r="P6" s="6"/>
      <c r="Q6" s="6"/>
      <c r="R6" s="6"/>
      <c r="S6" s="6"/>
      <c r="T6" s="7"/>
      <c r="U6" s="6"/>
      <c r="V6" s="6"/>
      <c r="W6" s="8"/>
      <c r="X6" s="132"/>
      <c r="Y6" s="133"/>
      <c r="Z6" s="134"/>
      <c r="AA6" s="114"/>
      <c r="AB6" s="114"/>
      <c r="AC6" s="114"/>
      <c r="AD6" s="114"/>
      <c r="AE6" s="114"/>
      <c r="AF6" s="114"/>
      <c r="AG6" s="114"/>
    </row>
    <row r="7" spans="2:33" ht="18" customHeight="1" x14ac:dyDescent="0.15">
      <c r="B7" s="116" t="s">
        <v>160</v>
      </c>
      <c r="C7" s="120"/>
      <c r="D7" s="121">
        <f>D5-D6</f>
        <v>62971291.428571425</v>
      </c>
      <c r="E7" s="129" t="s">
        <v>366</v>
      </c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</row>
    <row r="8" spans="2:33" ht="18" customHeight="1" x14ac:dyDescent="0.15">
      <c r="B8" s="116" t="s">
        <v>161</v>
      </c>
      <c r="C8" s="120"/>
      <c r="D8" s="135">
        <f>J5</f>
        <v>47228000</v>
      </c>
      <c r="E8" s="122" t="s">
        <v>162</v>
      </c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</row>
    <row r="9" spans="2:33" ht="18" customHeight="1" x14ac:dyDescent="0.15">
      <c r="B9" s="116" t="s">
        <v>332</v>
      </c>
      <c r="C9" s="120"/>
      <c r="D9" s="135">
        <f>D7-D8</f>
        <v>15743291.428571425</v>
      </c>
      <c r="E9" s="129" t="s">
        <v>367</v>
      </c>
      <c r="F9" s="114"/>
      <c r="G9" s="115" t="s">
        <v>163</v>
      </c>
      <c r="H9" s="111"/>
      <c r="I9" s="111"/>
      <c r="J9" s="136"/>
      <c r="K9" s="136"/>
      <c r="L9" s="136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</row>
    <row r="10" spans="2:33" ht="18" customHeight="1" x14ac:dyDescent="0.15">
      <c r="B10" s="116" t="s">
        <v>333</v>
      </c>
      <c r="C10" s="120"/>
      <c r="D10" s="135">
        <f>D6+D9</f>
        <v>20936799.999999996</v>
      </c>
      <c r="E10" s="129" t="s">
        <v>368</v>
      </c>
      <c r="F10" s="114"/>
      <c r="G10" s="118" t="s">
        <v>164</v>
      </c>
      <c r="H10" s="118" t="s">
        <v>165</v>
      </c>
      <c r="I10" s="137" t="s">
        <v>166</v>
      </c>
      <c r="J10" s="136"/>
      <c r="K10" s="136"/>
      <c r="L10" s="136"/>
    </row>
    <row r="11" spans="2:33" ht="18" customHeight="1" x14ac:dyDescent="0.15">
      <c r="B11" s="116" t="s">
        <v>167</v>
      </c>
      <c r="C11" s="138"/>
      <c r="D11" s="139">
        <v>1.45</v>
      </c>
      <c r="E11" s="140" t="s">
        <v>168</v>
      </c>
      <c r="F11" s="114"/>
      <c r="G11" s="124">
        <f>D9</f>
        <v>15743291.428571425</v>
      </c>
      <c r="H11" s="124">
        <f>G11*0.08</f>
        <v>1259463.3142857139</v>
      </c>
      <c r="I11" s="125">
        <f>G11+H11</f>
        <v>17002754.74285714</v>
      </c>
      <c r="J11" s="130"/>
      <c r="K11" s="130"/>
      <c r="L11" s="130"/>
    </row>
    <row r="12" spans="2:33" ht="18" customHeight="1" x14ac:dyDescent="0.15">
      <c r="B12" s="116" t="s">
        <v>169</v>
      </c>
      <c r="C12" s="796" t="s">
        <v>170</v>
      </c>
      <c r="D12" s="797"/>
      <c r="E12" s="798"/>
      <c r="F12" s="114"/>
      <c r="G12" s="799" t="s">
        <v>331</v>
      </c>
      <c r="H12" s="799"/>
      <c r="I12" s="130"/>
      <c r="J12" s="130"/>
      <c r="K12" s="130"/>
      <c r="L12" s="130"/>
    </row>
    <row r="13" spans="2:33" ht="18" customHeight="1" x14ac:dyDescent="0.15">
      <c r="B13" s="116" t="s">
        <v>171</v>
      </c>
      <c r="C13" s="120"/>
      <c r="D13" s="141">
        <v>8</v>
      </c>
      <c r="E13" s="122" t="s">
        <v>172</v>
      </c>
      <c r="F13" s="114"/>
      <c r="G13" s="114"/>
      <c r="H13" s="114"/>
      <c r="I13" s="114"/>
      <c r="J13" s="130"/>
      <c r="K13" s="130"/>
      <c r="L13" s="130"/>
    </row>
    <row r="14" spans="2:33" ht="18" customHeight="1" x14ac:dyDescent="0.15">
      <c r="B14" s="116" t="s">
        <v>173</v>
      </c>
      <c r="C14" s="120"/>
      <c r="D14" s="141">
        <f>'現況､事業計画(1)～(3)'!O29</f>
        <v>7723</v>
      </c>
      <c r="E14" s="122" t="s">
        <v>369</v>
      </c>
      <c r="F14" s="114"/>
      <c r="G14" s="114"/>
      <c r="H14" s="114"/>
      <c r="I14" s="114"/>
      <c r="J14" s="130"/>
      <c r="K14" s="130"/>
      <c r="L14" s="130"/>
    </row>
    <row r="15" spans="2:33" ht="18" customHeight="1" x14ac:dyDescent="0.15">
      <c r="B15" s="114"/>
      <c r="C15" s="114"/>
      <c r="D15" s="114" t="s">
        <v>484</v>
      </c>
      <c r="E15" s="114"/>
      <c r="F15" s="114"/>
      <c r="G15" s="130"/>
      <c r="H15" s="130"/>
      <c r="I15" s="130"/>
      <c r="J15" s="130"/>
      <c r="K15" s="130"/>
      <c r="L15" s="130"/>
    </row>
    <row r="16" spans="2:33" ht="18" customHeight="1" x14ac:dyDescent="0.15">
      <c r="B16" s="114" t="s">
        <v>174</v>
      </c>
      <c r="C16" s="114"/>
      <c r="D16" s="114"/>
      <c r="E16" s="114"/>
      <c r="F16" s="114"/>
      <c r="G16" s="130"/>
      <c r="H16" s="130"/>
      <c r="I16" s="130"/>
      <c r="J16" s="130"/>
      <c r="K16" s="130"/>
      <c r="L16" s="130"/>
    </row>
    <row r="17" spans="2:12" s="142" customFormat="1" ht="18" customHeight="1" x14ac:dyDescent="0.15">
      <c r="B17" s="118"/>
      <c r="C17" s="118" t="s">
        <v>175</v>
      </c>
      <c r="D17" s="118" t="s">
        <v>176</v>
      </c>
      <c r="E17" s="118" t="s">
        <v>234</v>
      </c>
      <c r="F17" s="118" t="s">
        <v>187</v>
      </c>
      <c r="G17" s="118" t="s">
        <v>188</v>
      </c>
      <c r="H17" s="118" t="s">
        <v>189</v>
      </c>
      <c r="I17" s="448" t="s">
        <v>481</v>
      </c>
      <c r="J17" s="448" t="s">
        <v>485</v>
      </c>
      <c r="K17" s="448" t="s">
        <v>486</v>
      </c>
      <c r="L17" s="118" t="s">
        <v>79</v>
      </c>
    </row>
    <row r="18" spans="2:12" ht="18" customHeight="1" x14ac:dyDescent="0.15">
      <c r="B18" s="137" t="s">
        <v>177</v>
      </c>
      <c r="C18" s="118" t="s">
        <v>370</v>
      </c>
      <c r="D18" s="124">
        <f>I11</f>
        <v>17002754.74285714</v>
      </c>
      <c r="E18" s="124">
        <f t="shared" ref="E18:K18" si="0">D18-D19</f>
        <v>14877410.399999997</v>
      </c>
      <c r="F18" s="124">
        <f t="shared" si="0"/>
        <v>12752066.057142854</v>
      </c>
      <c r="G18" s="124">
        <f t="shared" si="0"/>
        <v>10626721.714285711</v>
      </c>
      <c r="H18" s="124">
        <f t="shared" si="0"/>
        <v>8501377.3714285679</v>
      </c>
      <c r="I18" s="124">
        <f t="shared" si="0"/>
        <v>6376033.028571425</v>
      </c>
      <c r="J18" s="124">
        <f t="shared" si="0"/>
        <v>4250688.6857142821</v>
      </c>
      <c r="K18" s="124">
        <f t="shared" si="0"/>
        <v>2125344.3428571397</v>
      </c>
      <c r="L18" s="143"/>
    </row>
    <row r="19" spans="2:12" ht="18" customHeight="1" x14ac:dyDescent="0.15">
      <c r="B19" s="137" t="s">
        <v>178</v>
      </c>
      <c r="C19" s="118" t="s">
        <v>179</v>
      </c>
      <c r="D19" s="124">
        <f>$D$18/$D$13</f>
        <v>2125344.3428571424</v>
      </c>
      <c r="E19" s="124">
        <f t="shared" ref="E19:K19" si="1">$D$18/$D$13</f>
        <v>2125344.3428571424</v>
      </c>
      <c r="F19" s="124">
        <f t="shared" si="1"/>
        <v>2125344.3428571424</v>
      </c>
      <c r="G19" s="124">
        <f t="shared" si="1"/>
        <v>2125344.3428571424</v>
      </c>
      <c r="H19" s="124">
        <f t="shared" si="1"/>
        <v>2125344.3428571424</v>
      </c>
      <c r="I19" s="124">
        <f t="shared" si="1"/>
        <v>2125344.3428571424</v>
      </c>
      <c r="J19" s="124">
        <f t="shared" si="1"/>
        <v>2125344.3428571424</v>
      </c>
      <c r="K19" s="124">
        <f t="shared" si="1"/>
        <v>2125344.3428571424</v>
      </c>
      <c r="L19" s="124">
        <f>SUM(D17:K17)</f>
        <v>0</v>
      </c>
    </row>
    <row r="20" spans="2:12" ht="18" customHeight="1" x14ac:dyDescent="0.15">
      <c r="B20" s="137" t="s">
        <v>180</v>
      </c>
      <c r="C20" s="118"/>
      <c r="D20" s="144">
        <f t="shared" ref="D20:K20" si="2">(D18*$D$11)/100</f>
        <v>246539.94377142852</v>
      </c>
      <c r="E20" s="144">
        <f t="shared" si="2"/>
        <v>215722.45079999993</v>
      </c>
      <c r="F20" s="144">
        <f t="shared" si="2"/>
        <v>184904.95782857138</v>
      </c>
      <c r="G20" s="144">
        <f t="shared" si="2"/>
        <v>154087.4648571428</v>
      </c>
      <c r="H20" s="144">
        <f t="shared" si="2"/>
        <v>123269.97188571423</v>
      </c>
      <c r="I20" s="144">
        <f t="shared" si="2"/>
        <v>92452.478914285661</v>
      </c>
      <c r="J20" s="144">
        <f t="shared" si="2"/>
        <v>61634.985942857085</v>
      </c>
      <c r="K20" s="144">
        <f t="shared" si="2"/>
        <v>30817.492971428524</v>
      </c>
      <c r="L20" s="124">
        <f>SUM(D20:K20)</f>
        <v>1109429.7469714279</v>
      </c>
    </row>
    <row r="21" spans="2:12" ht="18" customHeight="1" x14ac:dyDescent="0.15">
      <c r="B21" s="137" t="s">
        <v>181</v>
      </c>
      <c r="C21" s="118" t="s">
        <v>182</v>
      </c>
      <c r="D21" s="144">
        <f>$L$20/$D$13</f>
        <v>138678.71837142849</v>
      </c>
      <c r="E21" s="144">
        <f t="shared" ref="E21:K21" si="3">$L$20/$D$13</f>
        <v>138678.71837142849</v>
      </c>
      <c r="F21" s="144">
        <f t="shared" si="3"/>
        <v>138678.71837142849</v>
      </c>
      <c r="G21" s="144">
        <f t="shared" si="3"/>
        <v>138678.71837142849</v>
      </c>
      <c r="H21" s="144">
        <f t="shared" si="3"/>
        <v>138678.71837142849</v>
      </c>
      <c r="I21" s="144">
        <f t="shared" si="3"/>
        <v>138678.71837142849</v>
      </c>
      <c r="J21" s="144">
        <f t="shared" si="3"/>
        <v>138678.71837142849</v>
      </c>
      <c r="K21" s="144">
        <f t="shared" si="3"/>
        <v>138678.71837142849</v>
      </c>
      <c r="L21" s="124">
        <f>SUM(D21:K21,D12:K12)</f>
        <v>1109429.7469714282</v>
      </c>
    </row>
    <row r="22" spans="2:12" ht="18" customHeight="1" x14ac:dyDescent="0.15">
      <c r="B22" s="137" t="s">
        <v>183</v>
      </c>
      <c r="C22" s="145" t="s">
        <v>371</v>
      </c>
      <c r="D22" s="124">
        <f>D19+D21</f>
        <v>2264023.061228571</v>
      </c>
      <c r="E22" s="124">
        <f t="shared" ref="E22:K22" si="4">E19+E21</f>
        <v>2264023.061228571</v>
      </c>
      <c r="F22" s="124">
        <f t="shared" si="4"/>
        <v>2264023.061228571</v>
      </c>
      <c r="G22" s="124">
        <f t="shared" si="4"/>
        <v>2264023.061228571</v>
      </c>
      <c r="H22" s="124">
        <f t="shared" si="4"/>
        <v>2264023.061228571</v>
      </c>
      <c r="I22" s="124">
        <f t="shared" si="4"/>
        <v>2264023.061228571</v>
      </c>
      <c r="J22" s="124">
        <f t="shared" si="4"/>
        <v>2264023.061228571</v>
      </c>
      <c r="K22" s="124">
        <f t="shared" si="4"/>
        <v>2264023.061228571</v>
      </c>
      <c r="L22" s="124">
        <f>SUM(D22:K22)</f>
        <v>18112184.489828568</v>
      </c>
    </row>
    <row r="23" spans="2:12" ht="18" customHeight="1" x14ac:dyDescent="0.15">
      <c r="B23" s="146" t="s">
        <v>184</v>
      </c>
      <c r="C23" s="145" t="s">
        <v>474</v>
      </c>
      <c r="D23" s="124">
        <f>D22*8/105</f>
        <v>172496.99514122447</v>
      </c>
      <c r="E23" s="124">
        <f t="shared" ref="E23:K23" si="5">E22*8/105</f>
        <v>172496.99514122447</v>
      </c>
      <c r="F23" s="124">
        <f t="shared" si="5"/>
        <v>172496.99514122447</v>
      </c>
      <c r="G23" s="124">
        <f t="shared" si="5"/>
        <v>172496.99514122447</v>
      </c>
      <c r="H23" s="124">
        <f t="shared" si="5"/>
        <v>172496.99514122447</v>
      </c>
      <c r="I23" s="124">
        <f t="shared" si="5"/>
        <v>172496.99514122447</v>
      </c>
      <c r="J23" s="124">
        <f t="shared" si="5"/>
        <v>172496.99514122447</v>
      </c>
      <c r="K23" s="124">
        <f t="shared" si="5"/>
        <v>172496.99514122447</v>
      </c>
      <c r="L23" s="124">
        <f>SUM(D23:K23)</f>
        <v>1379975.9611297958</v>
      </c>
    </row>
    <row r="24" spans="2:12" ht="18" customHeight="1" x14ac:dyDescent="0.15">
      <c r="B24" s="137" t="s">
        <v>185</v>
      </c>
      <c r="C24" s="118"/>
      <c r="D24" s="143">
        <f>$D$14</f>
        <v>7723</v>
      </c>
      <c r="E24" s="143">
        <f>D14</f>
        <v>7723</v>
      </c>
      <c r="F24" s="143">
        <f>D14</f>
        <v>7723</v>
      </c>
      <c r="G24" s="143">
        <f>D14</f>
        <v>7723</v>
      </c>
      <c r="H24" s="143">
        <f>D14</f>
        <v>7723</v>
      </c>
      <c r="I24" s="143">
        <f>D14</f>
        <v>7723</v>
      </c>
      <c r="J24" s="143">
        <f>D14</f>
        <v>7723</v>
      </c>
      <c r="K24" s="143">
        <f>D14</f>
        <v>7723</v>
      </c>
      <c r="L24" s="143"/>
    </row>
    <row r="25" spans="2:12" ht="18" customHeight="1" x14ac:dyDescent="0.15">
      <c r="B25" s="147" t="s">
        <v>186</v>
      </c>
      <c r="C25" s="148"/>
      <c r="D25" s="149">
        <f t="shared" ref="D25:K25" si="6">ROUND(D22/$D$14,0)</f>
        <v>293</v>
      </c>
      <c r="E25" s="149">
        <f t="shared" si="6"/>
        <v>293</v>
      </c>
      <c r="F25" s="149">
        <f t="shared" si="6"/>
        <v>293</v>
      </c>
      <c r="G25" s="149">
        <f t="shared" si="6"/>
        <v>293</v>
      </c>
      <c r="H25" s="149">
        <f t="shared" si="6"/>
        <v>293</v>
      </c>
      <c r="I25" s="149">
        <f t="shared" si="6"/>
        <v>293</v>
      </c>
      <c r="J25" s="149">
        <f t="shared" si="6"/>
        <v>293</v>
      </c>
      <c r="K25" s="149">
        <f t="shared" si="6"/>
        <v>293</v>
      </c>
      <c r="L25" s="137"/>
    </row>
  </sheetData>
  <mergeCells count="5">
    <mergeCell ref="B1:L1"/>
    <mergeCell ref="B2:F2"/>
    <mergeCell ref="C4:E4"/>
    <mergeCell ref="C12:E12"/>
    <mergeCell ref="G12:H12"/>
  </mergeCells>
  <phoneticPr fontId="12"/>
  <printOptions horizontalCentered="1" verticalCentered="1"/>
  <pageMargins left="0.59055118110236227" right="0.47" top="0.6" bottom="0.98425196850393704" header="0.51181102362204722" footer="0.51181102362204722"/>
  <pageSetup paperSize="9" scale="86" firstPageNumber="66" orientation="landscape" horizontalDpi="300" verticalDpi="300" r:id="rId1"/>
  <headerFooter alignWithMargins="0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3"/>
  </sheetPr>
  <dimension ref="A1:AF85"/>
  <sheetViews>
    <sheetView view="pageBreakPreview" zoomScale="85" zoomScaleNormal="70" zoomScaleSheetLayoutView="100" workbookViewId="0">
      <selection activeCell="R27" sqref="R27"/>
    </sheetView>
  </sheetViews>
  <sheetFormatPr defaultRowHeight="12" x14ac:dyDescent="0.15"/>
  <cols>
    <col min="1" max="1" width="11.625" style="53" customWidth="1"/>
    <col min="2" max="2" width="13.625" style="53" customWidth="1"/>
    <col min="3" max="3" width="4.75" style="53" customWidth="1"/>
    <col min="4" max="24" width="6.625" style="53" customWidth="1"/>
    <col min="25" max="27" width="3" style="53" customWidth="1"/>
    <col min="28" max="28" width="9" style="53"/>
    <col min="29" max="29" width="11.625" style="53" bestFit="1" customWidth="1"/>
    <col min="30" max="30" width="9" style="53"/>
    <col min="31" max="31" width="9.625" style="53" bestFit="1" customWidth="1"/>
    <col min="32" max="32" width="12.375" style="53" customWidth="1"/>
    <col min="33" max="16384" width="9" style="53"/>
  </cols>
  <sheetData>
    <row r="1" spans="1:27" ht="27" customHeight="1" thickBot="1" x14ac:dyDescent="0.2">
      <c r="A1" s="445" t="s">
        <v>467</v>
      </c>
      <c r="B1" s="51" t="s">
        <v>97</v>
      </c>
      <c r="C1" s="520" t="s">
        <v>336</v>
      </c>
      <c r="D1" s="521"/>
      <c r="E1" s="521"/>
      <c r="F1" s="521"/>
      <c r="G1" s="521"/>
      <c r="H1" s="521"/>
      <c r="I1" s="521"/>
      <c r="J1" s="521"/>
      <c r="K1" s="521"/>
      <c r="L1" s="521"/>
      <c r="M1" s="521"/>
      <c r="N1" s="521"/>
      <c r="O1" s="521"/>
      <c r="P1" s="521"/>
      <c r="Q1" s="521"/>
      <c r="R1" s="521"/>
      <c r="S1" s="521"/>
      <c r="T1" s="521"/>
      <c r="U1" s="521"/>
      <c r="V1" s="521"/>
      <c r="W1" s="521"/>
      <c r="X1" s="521"/>
      <c r="Y1" s="522"/>
      <c r="Z1" s="52"/>
      <c r="AA1" s="52"/>
    </row>
    <row r="2" spans="1:27" ht="20.100000000000001" customHeight="1" x14ac:dyDescent="0.15">
      <c r="A2" s="54"/>
      <c r="B2" s="54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6"/>
      <c r="Z2" s="52"/>
      <c r="AA2" s="52"/>
    </row>
    <row r="3" spans="1:27" ht="18" customHeight="1" x14ac:dyDescent="0.15">
      <c r="A3" s="54" t="s">
        <v>465</v>
      </c>
      <c r="B3" s="468" t="s">
        <v>337</v>
      </c>
      <c r="C3" s="477" t="s">
        <v>34</v>
      </c>
      <c r="D3" s="478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6"/>
      <c r="Z3" s="52"/>
      <c r="AA3" s="52"/>
    </row>
    <row r="4" spans="1:27" ht="18" customHeight="1" x14ac:dyDescent="0.15">
      <c r="A4" s="54" t="s">
        <v>308</v>
      </c>
      <c r="B4" s="468"/>
      <c r="C4" s="52"/>
      <c r="D4" s="500"/>
      <c r="E4" s="501"/>
      <c r="F4" s="501"/>
      <c r="G4" s="501"/>
      <c r="H4" s="501"/>
      <c r="I4" s="501"/>
      <c r="J4" s="501"/>
      <c r="K4" s="501"/>
      <c r="L4" s="501"/>
      <c r="M4" s="501"/>
      <c r="N4" s="501"/>
      <c r="O4" s="501"/>
      <c r="P4" s="501"/>
      <c r="Q4" s="501"/>
      <c r="R4" s="501"/>
      <c r="S4" s="501"/>
      <c r="T4" s="501"/>
      <c r="U4" s="501"/>
      <c r="V4" s="501"/>
      <c r="W4" s="501"/>
      <c r="X4" s="502"/>
      <c r="Y4" s="56"/>
      <c r="Z4" s="52"/>
      <c r="AA4" s="52"/>
    </row>
    <row r="5" spans="1:27" ht="18" customHeight="1" x14ac:dyDescent="0.15">
      <c r="A5" s="468" t="s">
        <v>466</v>
      </c>
      <c r="B5" s="468" t="s">
        <v>310</v>
      </c>
      <c r="C5" s="52"/>
      <c r="D5" s="503"/>
      <c r="E5" s="504"/>
      <c r="F5" s="504"/>
      <c r="G5" s="504"/>
      <c r="H5" s="504"/>
      <c r="I5" s="504"/>
      <c r="J5" s="504"/>
      <c r="K5" s="504"/>
      <c r="L5" s="504"/>
      <c r="M5" s="504"/>
      <c r="N5" s="504"/>
      <c r="O5" s="504"/>
      <c r="P5" s="504"/>
      <c r="Q5" s="504"/>
      <c r="R5" s="504"/>
      <c r="S5" s="504"/>
      <c r="T5" s="504"/>
      <c r="U5" s="504"/>
      <c r="V5" s="504"/>
      <c r="W5" s="504"/>
      <c r="X5" s="505"/>
      <c r="Y5" s="56"/>
      <c r="Z5" s="52"/>
      <c r="AA5" s="52"/>
    </row>
    <row r="6" spans="1:27" ht="18" customHeight="1" x14ac:dyDescent="0.15">
      <c r="A6" s="468"/>
      <c r="B6" s="557"/>
      <c r="C6" s="52"/>
      <c r="D6" s="60"/>
      <c r="E6" s="60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6"/>
      <c r="Z6" s="52"/>
      <c r="AA6" s="52"/>
    </row>
    <row r="7" spans="1:27" ht="18" customHeight="1" x14ac:dyDescent="0.15">
      <c r="A7" s="61"/>
      <c r="B7" s="54"/>
      <c r="C7" s="52"/>
      <c r="D7" s="52" t="s">
        <v>451</v>
      </c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09" t="s">
        <v>35</v>
      </c>
      <c r="W7" s="509"/>
      <c r="X7" s="509"/>
      <c r="Y7" s="56"/>
      <c r="Z7" s="52"/>
      <c r="AA7" s="52"/>
    </row>
    <row r="8" spans="1:27" ht="18" customHeight="1" x14ac:dyDescent="0.15">
      <c r="A8" s="61"/>
      <c r="B8" s="61"/>
      <c r="C8" s="52"/>
      <c r="D8" s="488" t="s">
        <v>338</v>
      </c>
      <c r="E8" s="489"/>
      <c r="F8" s="490"/>
      <c r="G8" s="523" t="s">
        <v>339</v>
      </c>
      <c r="H8" s="524"/>
      <c r="I8" s="524"/>
      <c r="J8" s="525"/>
      <c r="K8" s="532" t="s">
        <v>36</v>
      </c>
      <c r="L8" s="523" t="s">
        <v>37</v>
      </c>
      <c r="M8" s="524"/>
      <c r="N8" s="525"/>
      <c r="O8" s="523" t="s">
        <v>3</v>
      </c>
      <c r="P8" s="525"/>
      <c r="Q8" s="523" t="s">
        <v>4</v>
      </c>
      <c r="R8" s="524"/>
      <c r="S8" s="524"/>
      <c r="T8" s="524"/>
      <c r="U8" s="525"/>
      <c r="V8" s="523" t="s">
        <v>340</v>
      </c>
      <c r="W8" s="524"/>
      <c r="X8" s="525"/>
      <c r="Y8" s="56"/>
      <c r="Z8" s="52"/>
      <c r="AA8" s="52"/>
    </row>
    <row r="9" spans="1:27" ht="18" customHeight="1" x14ac:dyDescent="0.15">
      <c r="A9" s="61"/>
      <c r="B9" s="61"/>
      <c r="C9" s="52"/>
      <c r="D9" s="63"/>
      <c r="E9" s="64"/>
      <c r="F9" s="65"/>
      <c r="G9" s="526"/>
      <c r="H9" s="527"/>
      <c r="I9" s="527"/>
      <c r="J9" s="528"/>
      <c r="K9" s="533"/>
      <c r="L9" s="529"/>
      <c r="M9" s="530"/>
      <c r="N9" s="531"/>
      <c r="O9" s="526"/>
      <c r="P9" s="528"/>
      <c r="Q9" s="529"/>
      <c r="R9" s="530"/>
      <c r="S9" s="530"/>
      <c r="T9" s="530"/>
      <c r="U9" s="531"/>
      <c r="V9" s="526"/>
      <c r="W9" s="527"/>
      <c r="X9" s="528"/>
      <c r="Y9" s="56"/>
      <c r="Z9" s="52"/>
      <c r="AA9" s="52"/>
    </row>
    <row r="10" spans="1:27" ht="18" customHeight="1" x14ac:dyDescent="0.15">
      <c r="A10" s="61"/>
      <c r="B10" s="61"/>
      <c r="C10" s="52"/>
      <c r="D10" s="479" t="s">
        <v>341</v>
      </c>
      <c r="E10" s="480"/>
      <c r="F10" s="481"/>
      <c r="G10" s="529"/>
      <c r="H10" s="530"/>
      <c r="I10" s="530"/>
      <c r="J10" s="531"/>
      <c r="K10" s="534"/>
      <c r="L10" s="67" t="s">
        <v>5</v>
      </c>
      <c r="M10" s="73" t="s">
        <v>38</v>
      </c>
      <c r="N10" s="68" t="s">
        <v>6</v>
      </c>
      <c r="O10" s="529"/>
      <c r="P10" s="531"/>
      <c r="Q10" s="72" t="s">
        <v>342</v>
      </c>
      <c r="R10" s="74" t="s">
        <v>39</v>
      </c>
      <c r="S10" s="72" t="s">
        <v>40</v>
      </c>
      <c r="T10" s="68" t="s">
        <v>41</v>
      </c>
      <c r="U10" s="73" t="s">
        <v>42</v>
      </c>
      <c r="V10" s="529"/>
      <c r="W10" s="530"/>
      <c r="X10" s="531"/>
      <c r="Y10" s="56"/>
      <c r="Z10" s="52"/>
      <c r="AA10" s="52"/>
    </row>
    <row r="11" spans="1:27" ht="18" customHeight="1" x14ac:dyDescent="0.15">
      <c r="A11" s="61"/>
      <c r="B11" s="61"/>
      <c r="C11" s="52"/>
      <c r="D11" s="491" t="s">
        <v>343</v>
      </c>
      <c r="E11" s="492"/>
      <c r="F11" s="493"/>
      <c r="G11" s="482"/>
      <c r="H11" s="483"/>
      <c r="I11" s="483"/>
      <c r="J11" s="484"/>
      <c r="K11" s="9">
        <v>50</v>
      </c>
      <c r="L11" s="62">
        <v>2</v>
      </c>
      <c r="M11" s="62">
        <v>2</v>
      </c>
      <c r="N11" s="62">
        <f t="shared" ref="N11:N16" si="0">SUM(L11:M11)</f>
        <v>4</v>
      </c>
      <c r="O11" s="475">
        <f t="shared" ref="O11:O16" si="1">SUM(Q11:U11)</f>
        <v>39</v>
      </c>
      <c r="P11" s="476"/>
      <c r="Q11" s="75"/>
      <c r="R11" s="76"/>
      <c r="S11" s="76">
        <v>39</v>
      </c>
      <c r="T11" s="76"/>
      <c r="U11" s="76"/>
      <c r="V11" s="472"/>
      <c r="W11" s="473"/>
      <c r="X11" s="474"/>
      <c r="Y11" s="56"/>
      <c r="Z11" s="52"/>
      <c r="AA11" s="52"/>
    </row>
    <row r="12" spans="1:27" ht="18" customHeight="1" x14ac:dyDescent="0.15">
      <c r="A12" s="61"/>
      <c r="B12" s="61"/>
      <c r="C12" s="52"/>
      <c r="D12" s="491" t="s">
        <v>452</v>
      </c>
      <c r="E12" s="492"/>
      <c r="F12" s="493"/>
      <c r="G12" s="482"/>
      <c r="H12" s="483"/>
      <c r="I12" s="483"/>
      <c r="J12" s="484"/>
      <c r="K12" s="10">
        <v>43</v>
      </c>
      <c r="L12" s="62">
        <v>1</v>
      </c>
      <c r="M12" s="62"/>
      <c r="N12" s="62">
        <f t="shared" si="0"/>
        <v>1</v>
      </c>
      <c r="O12" s="475">
        <f t="shared" si="1"/>
        <v>33</v>
      </c>
      <c r="P12" s="476"/>
      <c r="Q12" s="75"/>
      <c r="R12" s="76"/>
      <c r="S12" s="76">
        <v>33</v>
      </c>
      <c r="T12" s="76"/>
      <c r="U12" s="76"/>
      <c r="V12" s="472"/>
      <c r="W12" s="473"/>
      <c r="X12" s="474"/>
      <c r="Y12" s="56"/>
      <c r="Z12" s="52"/>
      <c r="AA12" s="52"/>
    </row>
    <row r="13" spans="1:27" ht="18" customHeight="1" x14ac:dyDescent="0.15">
      <c r="A13" s="61"/>
      <c r="B13" s="61"/>
      <c r="C13" s="52"/>
      <c r="D13" s="491" t="s">
        <v>453</v>
      </c>
      <c r="E13" s="492"/>
      <c r="F13" s="493"/>
      <c r="G13" s="485"/>
      <c r="H13" s="486"/>
      <c r="I13" s="486"/>
      <c r="J13" s="487"/>
      <c r="K13" s="11">
        <v>51</v>
      </c>
      <c r="L13" s="62">
        <v>1</v>
      </c>
      <c r="M13" s="62">
        <v>2</v>
      </c>
      <c r="N13" s="62">
        <f t="shared" si="0"/>
        <v>3</v>
      </c>
      <c r="O13" s="475">
        <f t="shared" si="1"/>
        <v>53</v>
      </c>
      <c r="P13" s="476"/>
      <c r="Q13" s="75"/>
      <c r="R13" s="76"/>
      <c r="S13" s="76">
        <v>53</v>
      </c>
      <c r="T13" s="76"/>
      <c r="U13" s="76"/>
      <c r="V13" s="472"/>
      <c r="W13" s="473"/>
      <c r="X13" s="474"/>
      <c r="Y13" s="56"/>
      <c r="Z13" s="52"/>
      <c r="AA13" s="52"/>
    </row>
    <row r="14" spans="1:27" ht="18" customHeight="1" x14ac:dyDescent="0.15">
      <c r="A14" s="61"/>
      <c r="B14" s="61"/>
      <c r="C14" s="52"/>
      <c r="D14" s="491" t="s">
        <v>454</v>
      </c>
      <c r="E14" s="492"/>
      <c r="F14" s="493"/>
      <c r="G14" s="482"/>
      <c r="H14" s="483"/>
      <c r="I14" s="483"/>
      <c r="J14" s="484"/>
      <c r="K14" s="10">
        <v>60</v>
      </c>
      <c r="L14" s="62">
        <v>1</v>
      </c>
      <c r="M14" s="62"/>
      <c r="N14" s="62">
        <f t="shared" si="0"/>
        <v>1</v>
      </c>
      <c r="O14" s="475">
        <f t="shared" si="1"/>
        <v>43</v>
      </c>
      <c r="P14" s="476"/>
      <c r="Q14" s="75"/>
      <c r="R14" s="76"/>
      <c r="S14" s="76">
        <v>43</v>
      </c>
      <c r="T14" s="76"/>
      <c r="U14" s="76"/>
      <c r="V14" s="472"/>
      <c r="W14" s="473"/>
      <c r="X14" s="474"/>
      <c r="Y14" s="56"/>
      <c r="Z14" s="52"/>
      <c r="AA14" s="52"/>
    </row>
    <row r="15" spans="1:27" ht="18" customHeight="1" x14ac:dyDescent="0.15">
      <c r="A15" s="61"/>
      <c r="B15" s="61"/>
      <c r="C15" s="52"/>
      <c r="D15" s="491" t="s">
        <v>455</v>
      </c>
      <c r="E15" s="492"/>
      <c r="F15" s="493"/>
      <c r="G15" s="485"/>
      <c r="H15" s="486"/>
      <c r="I15" s="486"/>
      <c r="J15" s="487"/>
      <c r="K15" s="11">
        <v>39</v>
      </c>
      <c r="L15" s="62">
        <v>1</v>
      </c>
      <c r="M15" s="62"/>
      <c r="N15" s="62">
        <f t="shared" si="0"/>
        <v>1</v>
      </c>
      <c r="O15" s="475">
        <f t="shared" si="1"/>
        <v>16</v>
      </c>
      <c r="P15" s="476"/>
      <c r="Q15" s="75"/>
      <c r="R15" s="76"/>
      <c r="S15" s="76">
        <v>16</v>
      </c>
      <c r="T15" s="76"/>
      <c r="U15" s="76"/>
      <c r="V15" s="472"/>
      <c r="W15" s="473"/>
      <c r="X15" s="474"/>
      <c r="Y15" s="56"/>
      <c r="Z15" s="52"/>
      <c r="AA15" s="52"/>
    </row>
    <row r="16" spans="1:27" ht="18" customHeight="1" x14ac:dyDescent="0.15">
      <c r="A16" s="61"/>
      <c r="B16" s="61"/>
      <c r="C16" s="52"/>
      <c r="D16" s="491" t="s">
        <v>456</v>
      </c>
      <c r="E16" s="492"/>
      <c r="F16" s="493"/>
      <c r="G16" s="485"/>
      <c r="H16" s="486"/>
      <c r="I16" s="486"/>
      <c r="J16" s="487"/>
      <c r="K16" s="11">
        <v>49</v>
      </c>
      <c r="L16" s="62">
        <v>1</v>
      </c>
      <c r="M16" s="62"/>
      <c r="N16" s="62">
        <f t="shared" si="0"/>
        <v>1</v>
      </c>
      <c r="O16" s="475">
        <f t="shared" si="1"/>
        <v>0</v>
      </c>
      <c r="P16" s="476"/>
      <c r="Q16" s="75"/>
      <c r="R16" s="76"/>
      <c r="S16" s="76"/>
      <c r="T16" s="76"/>
      <c r="U16" s="76"/>
      <c r="V16" s="472" t="s">
        <v>229</v>
      </c>
      <c r="W16" s="473"/>
      <c r="X16" s="474"/>
      <c r="Y16" s="56"/>
      <c r="Z16" s="52"/>
      <c r="AA16" s="52"/>
    </row>
    <row r="17" spans="1:32" ht="18" customHeight="1" x14ac:dyDescent="0.15">
      <c r="A17" s="61"/>
      <c r="B17" s="61"/>
      <c r="C17" s="52"/>
      <c r="D17" s="491"/>
      <c r="E17" s="492"/>
      <c r="F17" s="493"/>
      <c r="G17" s="519"/>
      <c r="H17" s="519"/>
      <c r="I17" s="519"/>
      <c r="J17" s="519"/>
      <c r="K17" s="77"/>
      <c r="L17" s="73"/>
      <c r="M17" s="73"/>
      <c r="N17" s="62"/>
      <c r="O17" s="475"/>
      <c r="P17" s="476"/>
      <c r="Q17" s="78"/>
      <c r="R17" s="76"/>
      <c r="S17" s="76"/>
      <c r="T17" s="76"/>
      <c r="U17" s="76"/>
      <c r="V17" s="472"/>
      <c r="W17" s="473"/>
      <c r="X17" s="474"/>
      <c r="Y17" s="56"/>
      <c r="Z17" s="52"/>
      <c r="AA17" s="52"/>
    </row>
    <row r="18" spans="1:32" ht="18" customHeight="1" x14ac:dyDescent="0.15">
      <c r="A18" s="61"/>
      <c r="B18" s="61"/>
      <c r="C18" s="52"/>
      <c r="D18" s="497"/>
      <c r="E18" s="498"/>
      <c r="F18" s="499"/>
      <c r="G18" s="494"/>
      <c r="H18" s="495"/>
      <c r="I18" s="495"/>
      <c r="J18" s="496"/>
      <c r="K18" s="79"/>
      <c r="L18" s="72"/>
      <c r="M18" s="72"/>
      <c r="N18" s="62"/>
      <c r="O18" s="475"/>
      <c r="P18" s="476"/>
      <c r="Q18" s="80"/>
      <c r="R18" s="76"/>
      <c r="S18" s="76"/>
      <c r="T18" s="76"/>
      <c r="U18" s="76"/>
      <c r="V18" s="472"/>
      <c r="W18" s="473"/>
      <c r="X18" s="474"/>
      <c r="Y18" s="56"/>
      <c r="Z18" s="52"/>
      <c r="AA18" s="52"/>
    </row>
    <row r="19" spans="1:32" ht="18" customHeight="1" x14ac:dyDescent="0.15">
      <c r="A19" s="61"/>
      <c r="B19" s="61"/>
      <c r="C19" s="52"/>
      <c r="D19" s="544"/>
      <c r="E19" s="544"/>
      <c r="F19" s="544"/>
      <c r="G19" s="546" t="s">
        <v>344</v>
      </c>
      <c r="H19" s="547"/>
      <c r="I19" s="547"/>
      <c r="J19" s="548"/>
      <c r="K19" s="81"/>
      <c r="L19" s="73"/>
      <c r="M19" s="73"/>
      <c r="N19" s="62"/>
      <c r="O19" s="475" t="s">
        <v>345</v>
      </c>
      <c r="P19" s="476"/>
      <c r="Q19" s="78"/>
      <c r="R19" s="78"/>
      <c r="S19" s="78"/>
      <c r="T19" s="78"/>
      <c r="U19" s="78"/>
      <c r="V19" s="472"/>
      <c r="W19" s="473"/>
      <c r="X19" s="474"/>
      <c r="Y19" s="56"/>
      <c r="Z19" s="52"/>
      <c r="AA19" s="52"/>
    </row>
    <row r="20" spans="1:32" ht="18" customHeight="1" x14ac:dyDescent="0.15">
      <c r="A20" s="61"/>
      <c r="B20" s="61"/>
      <c r="C20" s="52"/>
      <c r="D20" s="469" t="s">
        <v>43</v>
      </c>
      <c r="E20" s="470"/>
      <c r="F20" s="471"/>
      <c r="G20" s="469"/>
      <c r="H20" s="470"/>
      <c r="I20" s="470"/>
      <c r="J20" s="471"/>
      <c r="K20" s="83"/>
      <c r="L20" s="82">
        <f>SUM(L11:L19)</f>
        <v>7</v>
      </c>
      <c r="M20" s="82">
        <f t="shared" ref="M20:U20" si="2">SUM(M11:M19)</f>
        <v>4</v>
      </c>
      <c r="N20" s="82">
        <f t="shared" si="2"/>
        <v>11</v>
      </c>
      <c r="O20" s="469">
        <f t="shared" si="2"/>
        <v>184</v>
      </c>
      <c r="P20" s="471"/>
      <c r="Q20" s="82">
        <f t="shared" si="2"/>
        <v>0</v>
      </c>
      <c r="R20" s="82">
        <f t="shared" si="2"/>
        <v>0</v>
      </c>
      <c r="S20" s="82">
        <f t="shared" si="2"/>
        <v>184</v>
      </c>
      <c r="T20" s="82">
        <f t="shared" si="2"/>
        <v>0</v>
      </c>
      <c r="U20" s="82">
        <f t="shared" si="2"/>
        <v>0</v>
      </c>
      <c r="V20" s="472"/>
      <c r="W20" s="473"/>
      <c r="X20" s="474"/>
      <c r="Y20" s="56"/>
      <c r="Z20" s="52"/>
      <c r="AA20" s="52"/>
    </row>
    <row r="21" spans="1:32" ht="18" customHeight="1" x14ac:dyDescent="0.15">
      <c r="A21" s="61"/>
      <c r="B21" s="61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6"/>
      <c r="Z21" s="52"/>
      <c r="AA21" s="52"/>
    </row>
    <row r="22" spans="1:32" ht="18" customHeight="1" x14ac:dyDescent="0.15">
      <c r="A22" s="61"/>
      <c r="B22" s="61"/>
      <c r="C22" s="477" t="s">
        <v>44</v>
      </c>
      <c r="D22" s="478"/>
      <c r="E22" s="478"/>
      <c r="F22" s="478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6"/>
      <c r="Z22" s="52"/>
      <c r="AA22" s="52"/>
    </row>
    <row r="23" spans="1:32" ht="18" customHeight="1" x14ac:dyDescent="0.15">
      <c r="A23" s="61"/>
      <c r="B23" s="61"/>
      <c r="C23" s="52"/>
      <c r="D23" s="52" t="s">
        <v>346</v>
      </c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6"/>
      <c r="Z23" s="52"/>
      <c r="AA23" s="52"/>
    </row>
    <row r="24" spans="1:32" ht="18" customHeight="1" x14ac:dyDescent="0.15">
      <c r="A24" s="61"/>
      <c r="B24" s="61"/>
      <c r="C24" s="52" t="s">
        <v>45</v>
      </c>
      <c r="D24" s="500"/>
      <c r="E24" s="501"/>
      <c r="F24" s="501"/>
      <c r="G24" s="501"/>
      <c r="H24" s="501"/>
      <c r="I24" s="501"/>
      <c r="J24" s="501"/>
      <c r="K24" s="501"/>
      <c r="L24" s="501"/>
      <c r="M24" s="501"/>
      <c r="N24" s="501"/>
      <c r="O24" s="501"/>
      <c r="P24" s="501"/>
      <c r="Q24" s="501"/>
      <c r="R24" s="501"/>
      <c r="S24" s="501"/>
      <c r="T24" s="501"/>
      <c r="U24" s="501"/>
      <c r="V24" s="501"/>
      <c r="W24" s="501"/>
      <c r="X24" s="502"/>
      <c r="Y24" s="56"/>
      <c r="Z24" s="52"/>
      <c r="AA24" s="52"/>
    </row>
    <row r="25" spans="1:32" ht="18" customHeight="1" x14ac:dyDescent="0.15">
      <c r="A25" s="61"/>
      <c r="B25" s="61"/>
      <c r="C25" s="52"/>
      <c r="D25" s="503"/>
      <c r="E25" s="504"/>
      <c r="F25" s="504"/>
      <c r="G25" s="504"/>
      <c r="H25" s="504"/>
      <c r="I25" s="504"/>
      <c r="J25" s="504"/>
      <c r="K25" s="504"/>
      <c r="L25" s="504"/>
      <c r="M25" s="504"/>
      <c r="N25" s="504"/>
      <c r="O25" s="504"/>
      <c r="P25" s="504"/>
      <c r="Q25" s="504"/>
      <c r="R25" s="504"/>
      <c r="S25" s="504"/>
      <c r="T25" s="504"/>
      <c r="U25" s="504"/>
      <c r="V25" s="504"/>
      <c r="W25" s="504"/>
      <c r="X25" s="505"/>
      <c r="Y25" s="56"/>
      <c r="Z25" s="52"/>
      <c r="AA25" s="52"/>
    </row>
    <row r="26" spans="1:32" ht="18" customHeight="1" x14ac:dyDescent="0.15">
      <c r="A26" s="61"/>
      <c r="B26" s="61"/>
      <c r="C26" s="52"/>
      <c r="D26" s="60" t="s">
        <v>347</v>
      </c>
      <c r="E26" s="60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6"/>
      <c r="Z26" s="52"/>
      <c r="AA26" s="52"/>
    </row>
    <row r="27" spans="1:32" ht="18" customHeight="1" x14ac:dyDescent="0.15">
      <c r="A27" s="61"/>
      <c r="B27" s="61"/>
      <c r="C27" s="52"/>
      <c r="D27" s="52" t="s">
        <v>348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09"/>
      <c r="W27" s="509"/>
      <c r="X27" s="509"/>
      <c r="Y27" s="56"/>
      <c r="Z27" s="52"/>
      <c r="AA27" s="52"/>
    </row>
    <row r="28" spans="1:32" ht="18" customHeight="1" x14ac:dyDescent="0.15">
      <c r="A28" s="61"/>
      <c r="B28" s="61"/>
      <c r="C28" s="52"/>
      <c r="D28" s="469" t="s">
        <v>349</v>
      </c>
      <c r="E28" s="470"/>
      <c r="F28" s="470"/>
      <c r="G28" s="471"/>
      <c r="H28" s="469" t="s">
        <v>350</v>
      </c>
      <c r="I28" s="470"/>
      <c r="J28" s="470"/>
      <c r="K28" s="471"/>
      <c r="L28" s="469" t="s">
        <v>351</v>
      </c>
      <c r="M28" s="470"/>
      <c r="N28" s="471"/>
      <c r="O28" s="469" t="s">
        <v>46</v>
      </c>
      <c r="P28" s="470"/>
      <c r="Q28" s="471"/>
      <c r="R28" s="469" t="s">
        <v>352</v>
      </c>
      <c r="S28" s="470"/>
      <c r="T28" s="471"/>
      <c r="U28" s="469" t="s">
        <v>469</v>
      </c>
      <c r="V28" s="470"/>
      <c r="W28" s="470"/>
      <c r="X28" s="471"/>
      <c r="Y28" s="56"/>
      <c r="Z28" s="52"/>
      <c r="AA28" s="52"/>
    </row>
    <row r="29" spans="1:32" ht="28.5" customHeight="1" x14ac:dyDescent="0.15">
      <c r="A29" s="61"/>
      <c r="B29" s="61"/>
      <c r="C29" s="52"/>
      <c r="D29" s="469" t="s">
        <v>307</v>
      </c>
      <c r="E29" s="470"/>
      <c r="F29" s="470"/>
      <c r="G29" s="471"/>
      <c r="H29" s="545" t="s">
        <v>311</v>
      </c>
      <c r="I29" s="507"/>
      <c r="J29" s="507"/>
      <c r="K29" s="508"/>
      <c r="L29" s="516">
        <v>6</v>
      </c>
      <c r="M29" s="517"/>
      <c r="N29" s="518"/>
      <c r="O29" s="513">
        <v>7723</v>
      </c>
      <c r="P29" s="514"/>
      <c r="Q29" s="515"/>
      <c r="R29" s="510">
        <f>ROUND(P39,-3)</f>
        <v>68164000</v>
      </c>
      <c r="S29" s="511"/>
      <c r="T29" s="512"/>
      <c r="U29" s="506" t="s">
        <v>468</v>
      </c>
      <c r="V29" s="507"/>
      <c r="W29" s="507"/>
      <c r="X29" s="508"/>
      <c r="Y29" s="56"/>
      <c r="Z29" s="52"/>
      <c r="AA29" s="52"/>
    </row>
    <row r="30" spans="1:32" ht="18" customHeight="1" x14ac:dyDescent="0.15">
      <c r="A30" s="61"/>
      <c r="B30" s="61"/>
      <c r="C30" s="52"/>
      <c r="D30" s="66"/>
      <c r="E30" s="66"/>
      <c r="F30" s="66"/>
      <c r="G30" s="55"/>
      <c r="H30" s="55"/>
      <c r="I30" s="55"/>
      <c r="J30" s="55"/>
      <c r="K30" s="52"/>
      <c r="L30" s="66"/>
      <c r="M30" s="52"/>
      <c r="N30" s="55"/>
      <c r="O30" s="55"/>
      <c r="P30" s="55"/>
      <c r="Q30" s="52"/>
      <c r="R30" s="85"/>
      <c r="S30" s="55"/>
      <c r="T30" s="55"/>
      <c r="U30" s="55"/>
      <c r="V30" s="55"/>
      <c r="W30" s="55"/>
      <c r="X30" s="55"/>
      <c r="Y30" s="56"/>
      <c r="Z30" s="52"/>
      <c r="AA30" s="52"/>
    </row>
    <row r="31" spans="1:32" ht="18" customHeight="1" x14ac:dyDescent="0.15">
      <c r="A31" s="61"/>
      <c r="B31" s="61"/>
      <c r="C31" s="52"/>
      <c r="D31" s="52" t="s">
        <v>353</v>
      </c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6"/>
      <c r="Z31" s="52"/>
      <c r="AA31" s="52"/>
    </row>
    <row r="32" spans="1:32" ht="18" customHeight="1" x14ac:dyDescent="0.15">
      <c r="A32" s="61"/>
      <c r="B32" s="61"/>
      <c r="C32" s="52"/>
      <c r="D32" s="469" t="s">
        <v>354</v>
      </c>
      <c r="E32" s="470"/>
      <c r="F32" s="471"/>
      <c r="G32" s="469" t="s">
        <v>355</v>
      </c>
      <c r="H32" s="470"/>
      <c r="I32" s="470"/>
      <c r="J32" s="471"/>
      <c r="K32" s="469" t="s">
        <v>47</v>
      </c>
      <c r="L32" s="470"/>
      <c r="M32" s="471"/>
      <c r="N32" s="469" t="s">
        <v>7</v>
      </c>
      <c r="O32" s="471"/>
      <c r="P32" s="469" t="s">
        <v>48</v>
      </c>
      <c r="Q32" s="470"/>
      <c r="R32" s="471"/>
      <c r="S32" s="469" t="s">
        <v>356</v>
      </c>
      <c r="T32" s="471"/>
      <c r="U32" s="469" t="s">
        <v>8</v>
      </c>
      <c r="V32" s="470"/>
      <c r="W32" s="470"/>
      <c r="X32" s="471"/>
      <c r="Y32" s="56"/>
      <c r="Z32" s="52"/>
      <c r="AA32" s="52"/>
      <c r="AE32" s="86"/>
      <c r="AF32" s="86"/>
    </row>
    <row r="33" spans="1:32" ht="18" customHeight="1" x14ac:dyDescent="0.15">
      <c r="A33" s="61"/>
      <c r="B33" s="61"/>
      <c r="C33" s="52"/>
      <c r="D33" s="472" t="s">
        <v>230</v>
      </c>
      <c r="E33" s="473"/>
      <c r="F33" s="474"/>
      <c r="G33" s="472" t="s">
        <v>49</v>
      </c>
      <c r="H33" s="473"/>
      <c r="I33" s="473"/>
      <c r="J33" s="474"/>
      <c r="K33" s="549">
        <f>O29</f>
        <v>7723</v>
      </c>
      <c r="L33" s="550"/>
      <c r="M33" s="551"/>
      <c r="N33" s="552">
        <f>P33/O29</f>
        <v>6537.6299365531531</v>
      </c>
      <c r="O33" s="553"/>
      <c r="P33" s="463">
        <v>50490116</v>
      </c>
      <c r="Q33" s="464"/>
      <c r="R33" s="465"/>
      <c r="S33" s="466">
        <v>8</v>
      </c>
      <c r="T33" s="467"/>
      <c r="U33" s="539"/>
      <c r="V33" s="540"/>
      <c r="W33" s="540"/>
      <c r="X33" s="541"/>
      <c r="Y33" s="56"/>
      <c r="Z33" s="52"/>
      <c r="AA33" s="52"/>
      <c r="AC33" s="87"/>
      <c r="AD33" s="88"/>
      <c r="AE33" s="89"/>
      <c r="AF33" s="87"/>
    </row>
    <row r="34" spans="1:32" ht="18" customHeight="1" x14ac:dyDescent="0.15">
      <c r="A34" s="61"/>
      <c r="B34" s="61"/>
      <c r="C34" s="52"/>
      <c r="D34" s="472" t="s">
        <v>231</v>
      </c>
      <c r="E34" s="473"/>
      <c r="F34" s="474"/>
      <c r="G34" s="472" t="s">
        <v>357</v>
      </c>
      <c r="H34" s="473"/>
      <c r="I34" s="473"/>
      <c r="J34" s="474"/>
      <c r="K34" s="469" t="s">
        <v>50</v>
      </c>
      <c r="L34" s="470"/>
      <c r="M34" s="471"/>
      <c r="N34" s="552">
        <f>P34/O29</f>
        <v>1159.7186326557037</v>
      </c>
      <c r="O34" s="553"/>
      <c r="P34" s="463">
        <v>8956507</v>
      </c>
      <c r="Q34" s="464"/>
      <c r="R34" s="465"/>
      <c r="S34" s="466">
        <v>8</v>
      </c>
      <c r="T34" s="467"/>
      <c r="U34" s="539"/>
      <c r="V34" s="540"/>
      <c r="W34" s="540"/>
      <c r="X34" s="541"/>
      <c r="Y34" s="56"/>
      <c r="Z34" s="52"/>
      <c r="AA34" s="52"/>
      <c r="AC34" s="87"/>
      <c r="AD34" s="88"/>
      <c r="AE34" s="89"/>
      <c r="AF34" s="87"/>
    </row>
    <row r="35" spans="1:32" ht="18" customHeight="1" x14ac:dyDescent="0.15">
      <c r="A35" s="61"/>
      <c r="B35" s="61"/>
      <c r="C35" s="52"/>
      <c r="D35" s="472" t="s">
        <v>277</v>
      </c>
      <c r="E35" s="473"/>
      <c r="F35" s="474"/>
      <c r="G35" s="472"/>
      <c r="H35" s="473"/>
      <c r="I35" s="473"/>
      <c r="J35" s="474"/>
      <c r="K35" s="469" t="s">
        <v>50</v>
      </c>
      <c r="L35" s="470"/>
      <c r="M35" s="471"/>
      <c r="N35" s="552">
        <f>P35/O29</f>
        <v>475</v>
      </c>
      <c r="O35" s="553"/>
      <c r="P35" s="463">
        <v>3668425</v>
      </c>
      <c r="Q35" s="464"/>
      <c r="R35" s="465"/>
      <c r="S35" s="466">
        <v>8</v>
      </c>
      <c r="T35" s="467"/>
      <c r="U35" s="539"/>
      <c r="V35" s="540"/>
      <c r="W35" s="540"/>
      <c r="X35" s="541"/>
      <c r="Y35" s="56"/>
      <c r="Z35" s="52"/>
      <c r="AA35" s="52"/>
      <c r="AC35" s="87"/>
      <c r="AD35" s="88"/>
      <c r="AE35" s="89"/>
      <c r="AF35" s="87"/>
    </row>
    <row r="36" spans="1:32" ht="18" customHeight="1" x14ac:dyDescent="0.15">
      <c r="A36" s="61"/>
      <c r="B36" s="61"/>
      <c r="C36" s="52"/>
      <c r="D36" s="472"/>
      <c r="E36" s="473"/>
      <c r="F36" s="474"/>
      <c r="G36" s="472"/>
      <c r="H36" s="473"/>
      <c r="I36" s="473"/>
      <c r="J36" s="474"/>
      <c r="K36" s="469"/>
      <c r="L36" s="470"/>
      <c r="M36" s="471"/>
      <c r="N36" s="552"/>
      <c r="O36" s="553"/>
      <c r="P36" s="463"/>
      <c r="Q36" s="464"/>
      <c r="R36" s="465"/>
      <c r="S36" s="466"/>
      <c r="T36" s="467"/>
      <c r="U36" s="539"/>
      <c r="V36" s="540"/>
      <c r="W36" s="540"/>
      <c r="X36" s="541"/>
      <c r="Y36" s="56"/>
      <c r="Z36" s="52"/>
      <c r="AA36" s="52"/>
      <c r="AC36" s="87"/>
      <c r="AD36" s="88"/>
      <c r="AE36" s="89"/>
      <c r="AF36" s="87"/>
    </row>
    <row r="37" spans="1:32" ht="18" customHeight="1" x14ac:dyDescent="0.15">
      <c r="A37" s="61"/>
      <c r="B37" s="61"/>
      <c r="C37" s="52"/>
      <c r="D37" s="469" t="s">
        <v>51</v>
      </c>
      <c r="E37" s="470"/>
      <c r="F37" s="471"/>
      <c r="G37" s="554" t="s">
        <v>345</v>
      </c>
      <c r="H37" s="555"/>
      <c r="I37" s="555"/>
      <c r="J37" s="556"/>
      <c r="K37" s="469"/>
      <c r="L37" s="470"/>
      <c r="M37" s="471"/>
      <c r="N37" s="542" t="s">
        <v>345</v>
      </c>
      <c r="O37" s="543"/>
      <c r="P37" s="475">
        <f>P33+P34+P35</f>
        <v>63115048</v>
      </c>
      <c r="Q37" s="538"/>
      <c r="R37" s="476"/>
      <c r="S37" s="461"/>
      <c r="T37" s="462"/>
      <c r="U37" s="539"/>
      <c r="V37" s="540"/>
      <c r="W37" s="540"/>
      <c r="X37" s="541"/>
      <c r="Y37" s="56"/>
      <c r="Z37" s="52"/>
      <c r="AA37" s="52"/>
      <c r="AC37" s="90"/>
    </row>
    <row r="38" spans="1:32" ht="18" customHeight="1" x14ac:dyDescent="0.15">
      <c r="A38" s="61"/>
      <c r="B38" s="61"/>
      <c r="C38" s="52"/>
      <c r="D38" s="469" t="s">
        <v>52</v>
      </c>
      <c r="E38" s="470"/>
      <c r="F38" s="471"/>
      <c r="G38" s="554" t="s">
        <v>358</v>
      </c>
      <c r="H38" s="555"/>
      <c r="I38" s="555"/>
      <c r="J38" s="556"/>
      <c r="K38" s="469"/>
      <c r="L38" s="470"/>
      <c r="M38" s="471"/>
      <c r="N38" s="542" t="s">
        <v>358</v>
      </c>
      <c r="O38" s="543"/>
      <c r="P38" s="475">
        <f>ROUND(P37*0.08,0)</f>
        <v>5049204</v>
      </c>
      <c r="Q38" s="538"/>
      <c r="R38" s="476"/>
      <c r="S38" s="461"/>
      <c r="T38" s="462"/>
      <c r="U38" s="539"/>
      <c r="V38" s="540"/>
      <c r="W38" s="540"/>
      <c r="X38" s="541"/>
      <c r="Y38" s="56"/>
      <c r="Z38" s="52"/>
      <c r="AA38" s="52"/>
    </row>
    <row r="39" spans="1:32" ht="18" customHeight="1" x14ac:dyDescent="0.15">
      <c r="A39" s="61"/>
      <c r="B39" s="61"/>
      <c r="C39" s="52"/>
      <c r="D39" s="469" t="s">
        <v>359</v>
      </c>
      <c r="E39" s="470"/>
      <c r="F39" s="471"/>
      <c r="G39" s="554" t="s">
        <v>358</v>
      </c>
      <c r="H39" s="555"/>
      <c r="I39" s="555"/>
      <c r="J39" s="556"/>
      <c r="K39" s="469"/>
      <c r="L39" s="470"/>
      <c r="M39" s="471"/>
      <c r="N39" s="542" t="s">
        <v>358</v>
      </c>
      <c r="O39" s="543"/>
      <c r="P39" s="475">
        <f>SUM(P37:R38)</f>
        <v>68164252</v>
      </c>
      <c r="Q39" s="538"/>
      <c r="R39" s="476"/>
      <c r="S39" s="461"/>
      <c r="T39" s="462"/>
      <c r="U39" s="535" t="s">
        <v>232</v>
      </c>
      <c r="V39" s="536"/>
      <c r="W39" s="536"/>
      <c r="X39" s="537"/>
      <c r="Y39" s="56"/>
      <c r="Z39" s="52"/>
      <c r="AA39" s="52"/>
    </row>
    <row r="40" spans="1:32" ht="15.75" customHeight="1" thickBot="1" x14ac:dyDescent="0.2">
      <c r="A40" s="91"/>
      <c r="B40" s="91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3"/>
      <c r="Q40" s="94"/>
      <c r="R40" s="94"/>
      <c r="S40" s="92"/>
      <c r="T40" s="92"/>
      <c r="U40" s="92"/>
      <c r="V40" s="92"/>
      <c r="W40" s="92"/>
      <c r="X40" s="92"/>
      <c r="Y40" s="95"/>
    </row>
    <row r="41" spans="1:32" ht="15.75" customHeight="1" x14ac:dyDescent="0.15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</row>
    <row r="42" spans="1:32" ht="15.75" customHeight="1" x14ac:dyDescent="0.15"/>
    <row r="43" spans="1:32" ht="15.75" customHeight="1" x14ac:dyDescent="0.15"/>
    <row r="44" spans="1:32" ht="15.75" customHeight="1" x14ac:dyDescent="0.15"/>
    <row r="45" spans="1:32" ht="15.75" customHeight="1" x14ac:dyDescent="0.15"/>
    <row r="46" spans="1:32" ht="15.75" customHeight="1" x14ac:dyDescent="0.15"/>
    <row r="47" spans="1:32" ht="15.75" customHeight="1" x14ac:dyDescent="0.15"/>
    <row r="48" spans="1:32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</sheetData>
  <mergeCells count="126">
    <mergeCell ref="A5:A6"/>
    <mergeCell ref="G16:J16"/>
    <mergeCell ref="D16:F16"/>
    <mergeCell ref="D15:F15"/>
    <mergeCell ref="G13:J13"/>
    <mergeCell ref="G12:J12"/>
    <mergeCell ref="G11:J11"/>
    <mergeCell ref="D12:F12"/>
    <mergeCell ref="D13:F13"/>
    <mergeCell ref="B5:B6"/>
    <mergeCell ref="D39:F39"/>
    <mergeCell ref="G39:J39"/>
    <mergeCell ref="D38:F38"/>
    <mergeCell ref="G32:J32"/>
    <mergeCell ref="D37:F37"/>
    <mergeCell ref="G38:J38"/>
    <mergeCell ref="G34:J34"/>
    <mergeCell ref="D36:F36"/>
    <mergeCell ref="G36:J36"/>
    <mergeCell ref="D34:F34"/>
    <mergeCell ref="D33:F33"/>
    <mergeCell ref="K33:M33"/>
    <mergeCell ref="L28:N28"/>
    <mergeCell ref="K37:M37"/>
    <mergeCell ref="N36:O36"/>
    <mergeCell ref="D35:F35"/>
    <mergeCell ref="N34:O34"/>
    <mergeCell ref="K34:M34"/>
    <mergeCell ref="N35:O35"/>
    <mergeCell ref="G37:J37"/>
    <mergeCell ref="N37:O37"/>
    <mergeCell ref="G33:J33"/>
    <mergeCell ref="N33:O33"/>
    <mergeCell ref="G35:J35"/>
    <mergeCell ref="U33:X33"/>
    <mergeCell ref="U34:X34"/>
    <mergeCell ref="U36:X36"/>
    <mergeCell ref="U35:X35"/>
    <mergeCell ref="P37:R37"/>
    <mergeCell ref="P34:R34"/>
    <mergeCell ref="S34:T34"/>
    <mergeCell ref="S33:T33"/>
    <mergeCell ref="S36:T36"/>
    <mergeCell ref="P36:R36"/>
    <mergeCell ref="K35:M35"/>
    <mergeCell ref="U39:X39"/>
    <mergeCell ref="K38:M38"/>
    <mergeCell ref="P38:R38"/>
    <mergeCell ref="S38:T38"/>
    <mergeCell ref="K39:M39"/>
    <mergeCell ref="U38:X38"/>
    <mergeCell ref="N39:O39"/>
    <mergeCell ref="P39:R39"/>
    <mergeCell ref="S39:T39"/>
    <mergeCell ref="N38:O38"/>
    <mergeCell ref="K36:M36"/>
    <mergeCell ref="U37:X37"/>
    <mergeCell ref="K32:M32"/>
    <mergeCell ref="P32:R32"/>
    <mergeCell ref="N32:O32"/>
    <mergeCell ref="G17:J17"/>
    <mergeCell ref="C1:Y1"/>
    <mergeCell ref="D4:X5"/>
    <mergeCell ref="V8:X10"/>
    <mergeCell ref="V12:X12"/>
    <mergeCell ref="V7:X7"/>
    <mergeCell ref="L8:N9"/>
    <mergeCell ref="Q8:U9"/>
    <mergeCell ref="G8:J10"/>
    <mergeCell ref="K8:K10"/>
    <mergeCell ref="O8:P10"/>
    <mergeCell ref="O17:P17"/>
    <mergeCell ref="D19:F19"/>
    <mergeCell ref="D20:F20"/>
    <mergeCell ref="H29:K29"/>
    <mergeCell ref="D28:G28"/>
    <mergeCell ref="G19:J19"/>
    <mergeCell ref="G20:J20"/>
    <mergeCell ref="V16:X16"/>
    <mergeCell ref="V15:X15"/>
    <mergeCell ref="R28:T28"/>
    <mergeCell ref="U28:X28"/>
    <mergeCell ref="O16:P16"/>
    <mergeCell ref="O20:P20"/>
    <mergeCell ref="O18:P18"/>
    <mergeCell ref="D24:X25"/>
    <mergeCell ref="U32:X32"/>
    <mergeCell ref="U29:X29"/>
    <mergeCell ref="S32:T32"/>
    <mergeCell ref="D17:F17"/>
    <mergeCell ref="V27:X27"/>
    <mergeCell ref="V20:X20"/>
    <mergeCell ref="D29:G29"/>
    <mergeCell ref="D32:F32"/>
    <mergeCell ref="R29:T29"/>
    <mergeCell ref="V17:X17"/>
    <mergeCell ref="V18:X18"/>
    <mergeCell ref="V19:X19"/>
    <mergeCell ref="O19:P19"/>
    <mergeCell ref="O29:Q29"/>
    <mergeCell ref="L29:N29"/>
    <mergeCell ref="O28:Q28"/>
    <mergeCell ref="S37:T37"/>
    <mergeCell ref="P35:R35"/>
    <mergeCell ref="S35:T35"/>
    <mergeCell ref="P33:R33"/>
    <mergeCell ref="B3:B4"/>
    <mergeCell ref="H28:K28"/>
    <mergeCell ref="V13:X13"/>
    <mergeCell ref="V11:X11"/>
    <mergeCell ref="V14:X14"/>
    <mergeCell ref="O12:P12"/>
    <mergeCell ref="O13:P13"/>
    <mergeCell ref="O11:P11"/>
    <mergeCell ref="C22:F22"/>
    <mergeCell ref="O15:P15"/>
    <mergeCell ref="C3:D3"/>
    <mergeCell ref="D10:F10"/>
    <mergeCell ref="G14:J14"/>
    <mergeCell ref="G15:J15"/>
    <mergeCell ref="D8:F8"/>
    <mergeCell ref="D11:F11"/>
    <mergeCell ref="D14:F14"/>
    <mergeCell ref="G18:J18"/>
    <mergeCell ref="D18:F18"/>
    <mergeCell ref="O14:P14"/>
  </mergeCells>
  <phoneticPr fontId="12"/>
  <printOptions horizontalCentered="1" verticalCentered="1"/>
  <pageMargins left="0.59055118110236227" right="0.47" top="0.6" bottom="0.98425196850393704" header="0.51181102362204722" footer="0.51181102362204722"/>
  <pageSetup paperSize="9" scale="70" firstPageNumber="66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3"/>
  </sheetPr>
  <dimension ref="A1:BB28"/>
  <sheetViews>
    <sheetView view="pageBreakPreview" zoomScale="85" zoomScaleNormal="80" zoomScaleSheetLayoutView="85" workbookViewId="0">
      <selection activeCell="F4" sqref="F4:AI4"/>
    </sheetView>
  </sheetViews>
  <sheetFormatPr defaultRowHeight="30" customHeight="1" x14ac:dyDescent="0.15"/>
  <cols>
    <col min="1" max="1" width="11.625" style="53" customWidth="1"/>
    <col min="2" max="2" width="13.625" style="53" customWidth="1"/>
    <col min="3" max="3" width="2" style="53" customWidth="1"/>
    <col min="4" max="5" width="6.625" style="53" customWidth="1"/>
    <col min="6" max="16" width="2.625" style="53" customWidth="1"/>
    <col min="17" max="17" width="2.875" style="53" customWidth="1"/>
    <col min="18" max="52" width="2.625" style="53" customWidth="1"/>
    <col min="53" max="53" width="3.125" style="53" customWidth="1"/>
    <col min="54" max="54" width="2.5" style="53" customWidth="1"/>
    <col min="55" max="16384" width="9" style="53"/>
  </cols>
  <sheetData>
    <row r="1" spans="1:54" ht="27" customHeight="1" thickBot="1" x14ac:dyDescent="0.2">
      <c r="A1" s="445" t="s">
        <v>467</v>
      </c>
      <c r="B1" s="96" t="s">
        <v>97</v>
      </c>
      <c r="C1" s="520" t="s">
        <v>11</v>
      </c>
      <c r="D1" s="521"/>
      <c r="E1" s="521"/>
      <c r="F1" s="521"/>
      <c r="G1" s="521"/>
      <c r="H1" s="521"/>
      <c r="I1" s="521"/>
      <c r="J1" s="521"/>
      <c r="K1" s="521"/>
      <c r="L1" s="521"/>
      <c r="M1" s="521"/>
      <c r="N1" s="521"/>
      <c r="O1" s="521"/>
      <c r="P1" s="521"/>
      <c r="Q1" s="521"/>
      <c r="R1" s="521"/>
      <c r="S1" s="521"/>
      <c r="T1" s="521"/>
      <c r="U1" s="521"/>
      <c r="V1" s="521"/>
      <c r="W1" s="521"/>
      <c r="X1" s="521"/>
      <c r="Y1" s="521"/>
      <c r="Z1" s="521"/>
      <c r="AA1" s="521"/>
      <c r="AB1" s="521"/>
      <c r="AC1" s="521"/>
      <c r="AD1" s="521"/>
      <c r="AE1" s="521"/>
      <c r="AF1" s="521"/>
      <c r="AG1" s="521"/>
      <c r="AH1" s="521"/>
      <c r="AI1" s="521"/>
      <c r="AJ1" s="521"/>
      <c r="AK1" s="521"/>
      <c r="AL1" s="521"/>
      <c r="AM1" s="521"/>
      <c r="AN1" s="521"/>
      <c r="AO1" s="521"/>
      <c r="AP1" s="521"/>
      <c r="AQ1" s="521"/>
      <c r="AR1" s="521"/>
      <c r="AS1" s="521"/>
      <c r="AT1" s="521"/>
      <c r="AU1" s="521"/>
      <c r="AV1" s="521"/>
      <c r="AW1" s="521"/>
      <c r="AX1" s="521"/>
      <c r="AY1" s="521"/>
      <c r="AZ1" s="521"/>
      <c r="BA1" s="521"/>
      <c r="BB1" s="522"/>
    </row>
    <row r="2" spans="1:54" ht="30" customHeight="1" x14ac:dyDescent="0.15">
      <c r="A2" s="61"/>
      <c r="B2" s="56"/>
      <c r="C2" s="97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98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99"/>
    </row>
    <row r="3" spans="1:54" ht="30" customHeight="1" x14ac:dyDescent="0.15">
      <c r="A3" s="54" t="str">
        <f>'現況､事業計画(1)～(3)'!$A$3</f>
        <v>○○市町村</v>
      </c>
      <c r="B3" s="58" t="str">
        <f>'現況､事業計画(1)～(3)'!$B$3</f>
        <v>○○</v>
      </c>
      <c r="C3" s="97"/>
      <c r="D3" s="52" t="s">
        <v>459</v>
      </c>
      <c r="E3" s="52"/>
      <c r="F3" s="52"/>
      <c r="G3" s="52"/>
      <c r="H3" s="70"/>
      <c r="I3" s="70"/>
      <c r="J3" s="70"/>
      <c r="K3" s="70"/>
      <c r="L3" s="70"/>
      <c r="M3" s="52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52"/>
      <c r="AB3" s="70"/>
      <c r="AC3" s="70"/>
      <c r="AD3" s="70"/>
      <c r="AE3" s="52"/>
      <c r="AF3" s="70"/>
      <c r="AG3" s="70"/>
      <c r="AH3" s="70"/>
      <c r="AI3" s="70"/>
      <c r="AJ3" s="52"/>
      <c r="AK3" s="52"/>
      <c r="AL3" s="52"/>
      <c r="AM3" s="52"/>
      <c r="AN3" s="52"/>
      <c r="AO3" s="52"/>
      <c r="AP3" s="52"/>
      <c r="AQ3" s="52"/>
      <c r="AR3" s="52"/>
      <c r="AS3" s="584" t="s">
        <v>445</v>
      </c>
      <c r="AT3" s="584"/>
      <c r="AU3" s="584"/>
      <c r="AV3" s="584"/>
      <c r="AW3" s="584"/>
      <c r="AX3" s="584"/>
      <c r="AY3" s="584"/>
      <c r="AZ3" s="584"/>
      <c r="BA3" s="584"/>
      <c r="BB3" s="56"/>
    </row>
    <row r="4" spans="1:54" ht="30" customHeight="1" x14ac:dyDescent="0.15">
      <c r="A4" s="54" t="str">
        <f>'現況､事業計画(1)～(3)'!A4</f>
        <v>○○地区</v>
      </c>
      <c r="B4" s="58" t="str">
        <f>'現況､事業計画(1)～(3)'!$B$5</f>
        <v>（型）</v>
      </c>
      <c r="C4" s="97"/>
      <c r="D4" s="100"/>
      <c r="E4" s="57" t="s">
        <v>446</v>
      </c>
      <c r="F4" s="558">
        <v>29</v>
      </c>
      <c r="G4" s="559"/>
      <c r="H4" s="559"/>
      <c r="I4" s="559"/>
      <c r="J4" s="559"/>
      <c r="K4" s="560"/>
      <c r="L4" s="558">
        <v>30</v>
      </c>
      <c r="M4" s="559"/>
      <c r="N4" s="559"/>
      <c r="O4" s="559"/>
      <c r="P4" s="559"/>
      <c r="Q4" s="560"/>
      <c r="R4" s="561">
        <v>1</v>
      </c>
      <c r="S4" s="562"/>
      <c r="T4" s="562"/>
      <c r="U4" s="562"/>
      <c r="V4" s="562"/>
      <c r="W4" s="563"/>
      <c r="X4" s="561">
        <v>2</v>
      </c>
      <c r="Y4" s="562"/>
      <c r="Z4" s="562"/>
      <c r="AA4" s="562"/>
      <c r="AB4" s="562"/>
      <c r="AC4" s="563"/>
      <c r="AD4" s="561">
        <v>3</v>
      </c>
      <c r="AE4" s="562"/>
      <c r="AF4" s="562"/>
      <c r="AG4" s="562"/>
      <c r="AH4" s="562"/>
      <c r="AI4" s="563"/>
      <c r="AJ4" s="585"/>
      <c r="AK4" s="586"/>
      <c r="AL4" s="586"/>
      <c r="AM4" s="586"/>
      <c r="AN4" s="586"/>
      <c r="AO4" s="587"/>
      <c r="AP4" s="588"/>
      <c r="AQ4" s="589"/>
      <c r="AR4" s="589"/>
      <c r="AS4" s="589"/>
      <c r="AT4" s="589"/>
      <c r="AU4" s="590"/>
      <c r="AV4" s="469"/>
      <c r="AW4" s="470"/>
      <c r="AX4" s="470"/>
      <c r="AY4" s="470"/>
      <c r="AZ4" s="470"/>
      <c r="BA4" s="471"/>
      <c r="BB4" s="56"/>
    </row>
    <row r="5" spans="1:54" ht="30" customHeight="1" x14ac:dyDescent="0.15">
      <c r="A5" s="567" t="str">
        <f>'現況､事業計画(1)～(3)'!A5</f>
        <v>○○生産組合</v>
      </c>
      <c r="B5" s="58"/>
      <c r="C5" s="97"/>
      <c r="D5" s="69" t="s">
        <v>447</v>
      </c>
      <c r="E5" s="71"/>
      <c r="F5" s="469" t="s">
        <v>448</v>
      </c>
      <c r="G5" s="470"/>
      <c r="H5" s="471"/>
      <c r="I5" s="469" t="s">
        <v>60</v>
      </c>
      <c r="J5" s="470"/>
      <c r="K5" s="471"/>
      <c r="L5" s="469" t="str">
        <f>$F$5</f>
        <v>面　積</v>
      </c>
      <c r="M5" s="470"/>
      <c r="N5" s="471"/>
      <c r="O5" s="469" t="str">
        <f>$I$5</f>
        <v>販売量</v>
      </c>
      <c r="P5" s="470"/>
      <c r="Q5" s="471"/>
      <c r="R5" s="469" t="str">
        <f>$F$5</f>
        <v>面　積</v>
      </c>
      <c r="S5" s="470"/>
      <c r="T5" s="471"/>
      <c r="U5" s="469" t="str">
        <f>$I$5</f>
        <v>販売量</v>
      </c>
      <c r="V5" s="470"/>
      <c r="W5" s="471"/>
      <c r="X5" s="469" t="str">
        <f>$F$5</f>
        <v>面　積</v>
      </c>
      <c r="Y5" s="470"/>
      <c r="Z5" s="471"/>
      <c r="AA5" s="469" t="str">
        <f>$I$5</f>
        <v>販売量</v>
      </c>
      <c r="AB5" s="470"/>
      <c r="AC5" s="471"/>
      <c r="AD5" s="469" t="str">
        <f>$F$5</f>
        <v>面　積</v>
      </c>
      <c r="AE5" s="470"/>
      <c r="AF5" s="471"/>
      <c r="AG5" s="469" t="str">
        <f>$I$5</f>
        <v>販売量</v>
      </c>
      <c r="AH5" s="470"/>
      <c r="AI5" s="471"/>
      <c r="AJ5" s="469"/>
      <c r="AK5" s="470"/>
      <c r="AL5" s="471"/>
      <c r="AM5" s="469"/>
      <c r="AN5" s="470"/>
      <c r="AO5" s="471"/>
      <c r="AP5" s="564"/>
      <c r="AQ5" s="565"/>
      <c r="AR5" s="566"/>
      <c r="AS5" s="564"/>
      <c r="AT5" s="565"/>
      <c r="AU5" s="566"/>
      <c r="AV5" s="469"/>
      <c r="AW5" s="470"/>
      <c r="AX5" s="471"/>
      <c r="AY5" s="469"/>
      <c r="AZ5" s="470"/>
      <c r="BA5" s="471"/>
      <c r="BB5" s="56"/>
    </row>
    <row r="6" spans="1:54" ht="30" customHeight="1" x14ac:dyDescent="0.15">
      <c r="A6" s="557"/>
      <c r="B6" s="58"/>
      <c r="C6" s="97"/>
      <c r="D6" s="523" t="s">
        <v>449</v>
      </c>
      <c r="E6" s="525"/>
      <c r="F6" s="591">
        <f>'現況､事業計画(1)～(3)'!O29/100</f>
        <v>77.23</v>
      </c>
      <c r="G6" s="592"/>
      <c r="H6" s="593"/>
      <c r="I6" s="581">
        <v>0</v>
      </c>
      <c r="J6" s="582"/>
      <c r="K6" s="583"/>
      <c r="L6" s="591">
        <f>F6</f>
        <v>77.23</v>
      </c>
      <c r="M6" s="592"/>
      <c r="N6" s="593"/>
      <c r="O6" s="594">
        <f>収支計画書!N8/1000</f>
        <v>73.367999999999995</v>
      </c>
      <c r="P6" s="595"/>
      <c r="Q6" s="596"/>
      <c r="R6" s="591">
        <f>F6</f>
        <v>77.23</v>
      </c>
      <c r="S6" s="592"/>
      <c r="T6" s="593"/>
      <c r="U6" s="581">
        <f>O6</f>
        <v>73.367999999999995</v>
      </c>
      <c r="V6" s="582"/>
      <c r="W6" s="583"/>
      <c r="X6" s="591">
        <f>F6</f>
        <v>77.23</v>
      </c>
      <c r="Y6" s="592"/>
      <c r="Z6" s="593"/>
      <c r="AA6" s="581">
        <f>U6</f>
        <v>73.367999999999995</v>
      </c>
      <c r="AB6" s="582"/>
      <c r="AC6" s="583"/>
      <c r="AD6" s="591">
        <f>F6</f>
        <v>77.23</v>
      </c>
      <c r="AE6" s="592"/>
      <c r="AF6" s="593"/>
      <c r="AG6" s="581">
        <f>AA6</f>
        <v>73.367999999999995</v>
      </c>
      <c r="AH6" s="582"/>
      <c r="AI6" s="583"/>
      <c r="AJ6" s="591"/>
      <c r="AK6" s="592"/>
      <c r="AL6" s="593"/>
      <c r="AM6" s="609"/>
      <c r="AN6" s="610"/>
      <c r="AO6" s="611"/>
      <c r="AP6" s="606"/>
      <c r="AQ6" s="607"/>
      <c r="AR6" s="608"/>
      <c r="AS6" s="600"/>
      <c r="AT6" s="601"/>
      <c r="AU6" s="602"/>
      <c r="AV6" s="603"/>
      <c r="AW6" s="604"/>
      <c r="AX6" s="605"/>
      <c r="AY6" s="603"/>
      <c r="AZ6" s="604"/>
      <c r="BA6" s="605"/>
      <c r="BB6" s="56"/>
    </row>
    <row r="7" spans="1:54" ht="30" customHeight="1" x14ac:dyDescent="0.15">
      <c r="A7" s="61"/>
      <c r="B7" s="56"/>
      <c r="C7" s="97"/>
      <c r="D7" s="469" t="s">
        <v>61</v>
      </c>
      <c r="E7" s="471"/>
      <c r="F7" s="578">
        <f>SUM(F6)</f>
        <v>77.23</v>
      </c>
      <c r="G7" s="579"/>
      <c r="H7" s="580"/>
      <c r="I7" s="597">
        <f>SUM(I6)</f>
        <v>0</v>
      </c>
      <c r="J7" s="598"/>
      <c r="K7" s="599"/>
      <c r="L7" s="578">
        <f>SUM(L6)</f>
        <v>77.23</v>
      </c>
      <c r="M7" s="579"/>
      <c r="N7" s="580"/>
      <c r="O7" s="597">
        <f>SUM(O6)</f>
        <v>73.367999999999995</v>
      </c>
      <c r="P7" s="598"/>
      <c r="Q7" s="599"/>
      <c r="R7" s="578">
        <f>SUM(R6)</f>
        <v>77.23</v>
      </c>
      <c r="S7" s="579"/>
      <c r="T7" s="580"/>
      <c r="U7" s="597">
        <f>SUM(U6)</f>
        <v>73.367999999999995</v>
      </c>
      <c r="V7" s="598"/>
      <c r="W7" s="599"/>
      <c r="X7" s="578">
        <f>SUM(X6)</f>
        <v>77.23</v>
      </c>
      <c r="Y7" s="579"/>
      <c r="Z7" s="580"/>
      <c r="AA7" s="597">
        <f>SUM(AA6)</f>
        <v>73.367999999999995</v>
      </c>
      <c r="AB7" s="598"/>
      <c r="AC7" s="599"/>
      <c r="AD7" s="578">
        <f>SUM(AD6)</f>
        <v>77.23</v>
      </c>
      <c r="AE7" s="579"/>
      <c r="AF7" s="580"/>
      <c r="AG7" s="597">
        <f>SUM(AG6)</f>
        <v>73.367999999999995</v>
      </c>
      <c r="AH7" s="598"/>
      <c r="AI7" s="599"/>
      <c r="AJ7" s="578"/>
      <c r="AK7" s="579"/>
      <c r="AL7" s="580"/>
      <c r="AM7" s="609"/>
      <c r="AN7" s="610"/>
      <c r="AO7" s="611"/>
      <c r="AP7" s="612"/>
      <c r="AQ7" s="613"/>
      <c r="AR7" s="614"/>
      <c r="AS7" s="612"/>
      <c r="AT7" s="613"/>
      <c r="AU7" s="614"/>
      <c r="AV7" s="618"/>
      <c r="AW7" s="619"/>
      <c r="AX7" s="620"/>
      <c r="AY7" s="618"/>
      <c r="AZ7" s="619"/>
      <c r="BA7" s="620"/>
      <c r="BB7" s="56"/>
    </row>
    <row r="8" spans="1:54" ht="30" customHeight="1" x14ac:dyDescent="0.15">
      <c r="A8" s="61"/>
      <c r="B8" s="56"/>
      <c r="C8" s="97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 t="s">
        <v>312</v>
      </c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6"/>
    </row>
    <row r="9" spans="1:54" ht="30" customHeight="1" x14ac:dyDescent="0.15">
      <c r="A9" s="61"/>
      <c r="B9" s="56"/>
      <c r="C9" s="97"/>
      <c r="D9" s="52" t="s">
        <v>460</v>
      </c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6"/>
    </row>
    <row r="10" spans="1:54" ht="30" customHeight="1" x14ac:dyDescent="0.15">
      <c r="A10" s="61"/>
      <c r="B10" s="56"/>
      <c r="C10" s="97"/>
      <c r="D10" s="469" t="s">
        <v>12</v>
      </c>
      <c r="E10" s="471"/>
      <c r="F10" s="469" t="s">
        <v>13</v>
      </c>
      <c r="G10" s="470"/>
      <c r="H10" s="471"/>
      <c r="I10" s="469" t="s">
        <v>14</v>
      </c>
      <c r="J10" s="470"/>
      <c r="K10" s="471"/>
      <c r="L10" s="469" t="s">
        <v>15</v>
      </c>
      <c r="M10" s="470"/>
      <c r="N10" s="471"/>
      <c r="O10" s="469" t="s">
        <v>16</v>
      </c>
      <c r="P10" s="470"/>
      <c r="Q10" s="471"/>
      <c r="R10" s="469" t="s">
        <v>17</v>
      </c>
      <c r="S10" s="470"/>
      <c r="T10" s="471"/>
      <c r="U10" s="469" t="s">
        <v>18</v>
      </c>
      <c r="V10" s="470"/>
      <c r="W10" s="471"/>
      <c r="X10" s="523" t="s">
        <v>19</v>
      </c>
      <c r="Y10" s="524"/>
      <c r="Z10" s="525"/>
      <c r="AA10" s="523" t="s">
        <v>20</v>
      </c>
      <c r="AB10" s="524"/>
      <c r="AC10" s="525"/>
      <c r="AD10" s="469" t="s">
        <v>21</v>
      </c>
      <c r="AE10" s="470"/>
      <c r="AF10" s="471"/>
      <c r="AG10" s="469" t="s">
        <v>22</v>
      </c>
      <c r="AH10" s="470"/>
      <c r="AI10" s="471"/>
      <c r="AJ10" s="469" t="s">
        <v>23</v>
      </c>
      <c r="AK10" s="470"/>
      <c r="AL10" s="471"/>
      <c r="AM10" s="469" t="s">
        <v>24</v>
      </c>
      <c r="AN10" s="470"/>
      <c r="AO10" s="471"/>
      <c r="AP10" s="469" t="s">
        <v>25</v>
      </c>
      <c r="AQ10" s="470"/>
      <c r="AR10" s="470"/>
      <c r="AS10" s="470"/>
      <c r="AT10" s="470"/>
      <c r="AU10" s="470"/>
      <c r="AV10" s="470"/>
      <c r="AW10" s="470"/>
      <c r="AX10" s="470"/>
      <c r="AY10" s="470"/>
      <c r="AZ10" s="470"/>
      <c r="BA10" s="471"/>
      <c r="BB10" s="56"/>
    </row>
    <row r="11" spans="1:54" ht="60" customHeight="1" x14ac:dyDescent="0.15">
      <c r="A11" s="61"/>
      <c r="B11" s="56"/>
      <c r="C11" s="97"/>
      <c r="D11" s="469" t="s">
        <v>360</v>
      </c>
      <c r="E11" s="471"/>
      <c r="F11" s="101" t="s">
        <v>361</v>
      </c>
      <c r="G11" s="102"/>
      <c r="H11" s="103"/>
      <c r="I11" s="101"/>
      <c r="J11" s="102"/>
      <c r="K11" s="103"/>
      <c r="L11" s="101"/>
      <c r="M11" s="102"/>
      <c r="N11" s="103"/>
      <c r="O11" s="101"/>
      <c r="P11" s="102"/>
      <c r="Q11" s="103"/>
      <c r="R11" s="101"/>
      <c r="S11" s="102"/>
      <c r="T11" s="103"/>
      <c r="U11" s="101"/>
      <c r="V11" s="102" t="s">
        <v>362</v>
      </c>
      <c r="W11" s="103"/>
      <c r="X11" s="101"/>
      <c r="Y11" s="102"/>
      <c r="Z11" s="103"/>
      <c r="AA11" s="101" t="s">
        <v>363</v>
      </c>
      <c r="AB11" s="102"/>
      <c r="AC11" s="103"/>
      <c r="AD11" s="101"/>
      <c r="AE11" s="102"/>
      <c r="AF11" s="103" t="s">
        <v>362</v>
      </c>
      <c r="AG11" s="101"/>
      <c r="AH11" s="102"/>
      <c r="AI11" s="103"/>
      <c r="AJ11" s="101"/>
      <c r="AK11" s="102"/>
      <c r="AL11" s="103"/>
      <c r="AM11" s="101"/>
      <c r="AN11" s="102"/>
      <c r="AO11" s="102"/>
      <c r="AP11" s="615"/>
      <c r="AQ11" s="616"/>
      <c r="AR11" s="616"/>
      <c r="AS11" s="616"/>
      <c r="AT11" s="616"/>
      <c r="AU11" s="616"/>
      <c r="AV11" s="616"/>
      <c r="AW11" s="616"/>
      <c r="AX11" s="616"/>
      <c r="AY11" s="616"/>
      <c r="AZ11" s="616"/>
      <c r="BA11" s="617"/>
      <c r="BB11" s="56"/>
    </row>
    <row r="12" spans="1:54" ht="30" customHeight="1" x14ac:dyDescent="0.15">
      <c r="A12" s="61"/>
      <c r="B12" s="56"/>
      <c r="C12" s="97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AB12" s="52" t="s">
        <v>278</v>
      </c>
      <c r="AD12" s="52"/>
      <c r="AF12" s="52"/>
      <c r="AG12" s="52"/>
      <c r="AJ12" s="52"/>
      <c r="AK12" s="52"/>
      <c r="AL12" s="52"/>
      <c r="AM12" s="52"/>
      <c r="AN12" s="52"/>
      <c r="AO12" s="52"/>
      <c r="AP12" s="66"/>
      <c r="AQ12" s="52"/>
      <c r="AR12" s="52"/>
      <c r="AS12" s="52"/>
      <c r="AT12" s="104"/>
      <c r="AU12" s="66"/>
      <c r="AV12" s="52"/>
      <c r="AW12" s="52"/>
      <c r="AX12" s="52"/>
      <c r="AY12" s="52"/>
      <c r="AZ12" s="52"/>
      <c r="BA12" s="52"/>
      <c r="BB12" s="56"/>
    </row>
    <row r="13" spans="1:54" ht="30" customHeight="1" x14ac:dyDescent="0.15">
      <c r="A13" s="61"/>
      <c r="B13" s="56"/>
      <c r="C13" s="97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 t="s">
        <v>364</v>
      </c>
      <c r="AD13" s="52" t="s">
        <v>364</v>
      </c>
      <c r="AE13" s="52"/>
      <c r="AF13" s="52"/>
      <c r="AG13" s="52"/>
      <c r="AH13" s="52"/>
      <c r="AI13" s="52"/>
      <c r="AJ13" s="52"/>
      <c r="AK13" s="52"/>
      <c r="AL13" s="66"/>
      <c r="AM13" s="66"/>
      <c r="AN13" s="66"/>
      <c r="AO13" s="104"/>
      <c r="AP13" s="52"/>
      <c r="AQ13" s="66"/>
      <c r="AR13" s="52"/>
      <c r="AS13" s="52"/>
      <c r="AT13" s="66"/>
      <c r="AU13" s="104"/>
      <c r="AV13" s="66"/>
      <c r="AW13" s="66"/>
      <c r="AX13" s="52"/>
      <c r="AY13" s="52"/>
      <c r="AZ13" s="66"/>
      <c r="BA13" s="66"/>
      <c r="BB13" s="56"/>
    </row>
    <row r="14" spans="1:54" ht="30" customHeight="1" x14ac:dyDescent="0.15">
      <c r="A14" s="61"/>
      <c r="B14" s="56"/>
      <c r="C14" s="97"/>
      <c r="D14" s="52" t="s">
        <v>461</v>
      </c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6"/>
    </row>
    <row r="15" spans="1:54" ht="15" customHeight="1" x14ac:dyDescent="0.15">
      <c r="A15" s="61"/>
      <c r="B15" s="56"/>
      <c r="C15" s="97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66"/>
      <c r="AA15" s="66"/>
      <c r="AB15" s="66"/>
      <c r="AC15" s="66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6"/>
    </row>
    <row r="16" spans="1:54" ht="15" customHeight="1" x14ac:dyDescent="0.15">
      <c r="A16" s="61"/>
      <c r="B16" s="56"/>
      <c r="C16" s="97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66"/>
      <c r="O16" s="52"/>
      <c r="P16" s="52"/>
      <c r="Q16" s="52"/>
      <c r="R16" s="52"/>
      <c r="S16" s="52"/>
      <c r="T16" s="52"/>
      <c r="U16" s="52"/>
      <c r="V16" s="66"/>
      <c r="W16" s="52"/>
      <c r="X16" s="52"/>
      <c r="Y16" s="105"/>
      <c r="Z16" s="105"/>
      <c r="AA16" s="106"/>
      <c r="AB16" s="107"/>
      <c r="AC16" s="66"/>
      <c r="AD16" s="52"/>
      <c r="AE16" s="52"/>
      <c r="AF16" s="52"/>
      <c r="AG16" s="52"/>
      <c r="AH16" s="107"/>
      <c r="AI16" s="107"/>
      <c r="AJ16" s="107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6"/>
    </row>
    <row r="17" spans="1:54" ht="15" customHeight="1" x14ac:dyDescent="0.15">
      <c r="A17" s="61"/>
      <c r="B17" s="56"/>
      <c r="C17" s="97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66"/>
      <c r="O17" s="52"/>
      <c r="P17" s="52"/>
      <c r="Q17" s="52"/>
      <c r="R17" s="52"/>
      <c r="S17" s="52"/>
      <c r="T17" s="52"/>
      <c r="U17" s="52"/>
      <c r="V17" s="66"/>
      <c r="W17" s="52"/>
      <c r="X17" s="52"/>
      <c r="Y17" s="105"/>
      <c r="Z17" s="105"/>
      <c r="AA17" s="106"/>
      <c r="AB17" s="107"/>
      <c r="AC17" s="66"/>
      <c r="AD17" s="52"/>
      <c r="AE17" s="52"/>
      <c r="AF17" s="52"/>
      <c r="AG17" s="52"/>
      <c r="AH17" s="107"/>
      <c r="AI17" s="107"/>
      <c r="AJ17" s="107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6"/>
    </row>
    <row r="18" spans="1:54" ht="15" customHeight="1" x14ac:dyDescent="0.15">
      <c r="A18" s="61"/>
      <c r="B18" s="56"/>
      <c r="C18" s="97"/>
      <c r="D18" s="52"/>
      <c r="E18" s="52"/>
      <c r="F18" s="568" t="s">
        <v>285</v>
      </c>
      <c r="G18" s="569"/>
      <c r="H18" s="569"/>
      <c r="I18" s="569"/>
      <c r="J18" s="569"/>
      <c r="K18" s="569"/>
      <c r="L18" s="569"/>
      <c r="M18" s="569"/>
      <c r="N18" s="570"/>
      <c r="O18" s="66"/>
      <c r="P18" s="66"/>
      <c r="Q18" s="66"/>
      <c r="R18" s="66"/>
      <c r="S18" s="568" t="s">
        <v>62</v>
      </c>
      <c r="T18" s="524"/>
      <c r="U18" s="524"/>
      <c r="V18" s="524"/>
      <c r="W18" s="524"/>
      <c r="X18" s="524"/>
      <c r="Y18" s="525"/>
      <c r="Z18" s="52"/>
      <c r="AA18" s="52"/>
      <c r="AB18" s="52"/>
      <c r="AC18" s="52"/>
      <c r="AD18" s="568" t="s">
        <v>280</v>
      </c>
      <c r="AE18" s="569"/>
      <c r="AF18" s="569"/>
      <c r="AG18" s="569"/>
      <c r="AH18" s="569"/>
      <c r="AI18" s="569"/>
      <c r="AJ18" s="569"/>
      <c r="AK18" s="569"/>
      <c r="AL18" s="570"/>
      <c r="AO18" s="52"/>
      <c r="AP18" s="52"/>
      <c r="AQ18" s="523" t="s">
        <v>63</v>
      </c>
      <c r="AR18" s="524"/>
      <c r="AS18" s="524"/>
      <c r="AT18" s="524"/>
      <c r="AU18" s="524"/>
      <c r="AV18" s="524"/>
      <c r="AW18" s="524"/>
      <c r="AX18" s="525"/>
      <c r="AY18" s="52"/>
      <c r="AZ18" s="52"/>
      <c r="BA18" s="52"/>
      <c r="BB18" s="56"/>
    </row>
    <row r="19" spans="1:54" ht="15" customHeight="1" x14ac:dyDescent="0.15">
      <c r="A19" s="61"/>
      <c r="B19" s="56"/>
      <c r="C19" s="97"/>
      <c r="D19" s="52"/>
      <c r="E19" s="108"/>
      <c r="F19" s="571"/>
      <c r="G19" s="572"/>
      <c r="H19" s="572"/>
      <c r="I19" s="572"/>
      <c r="J19" s="572"/>
      <c r="K19" s="572"/>
      <c r="L19" s="572"/>
      <c r="M19" s="572"/>
      <c r="N19" s="573"/>
      <c r="O19" s="52"/>
      <c r="P19" s="527" t="s">
        <v>450</v>
      </c>
      <c r="Q19" s="527"/>
      <c r="R19" s="52"/>
      <c r="S19" s="526"/>
      <c r="T19" s="527"/>
      <c r="U19" s="527"/>
      <c r="V19" s="527"/>
      <c r="W19" s="527"/>
      <c r="X19" s="527"/>
      <c r="Y19" s="528"/>
      <c r="Z19" s="109"/>
      <c r="AA19" s="577" t="s">
        <v>450</v>
      </c>
      <c r="AB19" s="577"/>
      <c r="AC19" s="52"/>
      <c r="AD19" s="571"/>
      <c r="AE19" s="572"/>
      <c r="AF19" s="572"/>
      <c r="AG19" s="572"/>
      <c r="AH19" s="572"/>
      <c r="AI19" s="572"/>
      <c r="AJ19" s="572"/>
      <c r="AK19" s="572"/>
      <c r="AL19" s="573"/>
      <c r="AN19" s="577" t="s">
        <v>450</v>
      </c>
      <c r="AO19" s="577"/>
      <c r="AP19" s="52"/>
      <c r="AQ19" s="526"/>
      <c r="AR19" s="527"/>
      <c r="AS19" s="527"/>
      <c r="AT19" s="527"/>
      <c r="AU19" s="527"/>
      <c r="AV19" s="527"/>
      <c r="AW19" s="527"/>
      <c r="AX19" s="528"/>
      <c r="AY19" s="52"/>
      <c r="AZ19" s="52"/>
      <c r="BA19" s="52"/>
      <c r="BB19" s="56"/>
    </row>
    <row r="20" spans="1:54" ht="15" customHeight="1" x14ac:dyDescent="0.15">
      <c r="A20" s="61"/>
      <c r="B20" s="56"/>
      <c r="C20" s="97"/>
      <c r="D20" s="52"/>
      <c r="E20" s="108"/>
      <c r="F20" s="574"/>
      <c r="G20" s="575"/>
      <c r="H20" s="575"/>
      <c r="I20" s="575"/>
      <c r="J20" s="575"/>
      <c r="K20" s="575"/>
      <c r="L20" s="575"/>
      <c r="M20" s="575"/>
      <c r="N20" s="576"/>
      <c r="O20" s="52"/>
      <c r="P20" s="52"/>
      <c r="Q20" s="52"/>
      <c r="R20" s="52"/>
      <c r="S20" s="529"/>
      <c r="T20" s="530"/>
      <c r="U20" s="530"/>
      <c r="V20" s="530"/>
      <c r="W20" s="530"/>
      <c r="X20" s="530"/>
      <c r="Y20" s="531"/>
      <c r="Z20" s="109"/>
      <c r="AA20" s="106"/>
      <c r="AB20" s="107"/>
      <c r="AC20" s="52"/>
      <c r="AD20" s="574"/>
      <c r="AE20" s="575"/>
      <c r="AF20" s="575"/>
      <c r="AG20" s="575"/>
      <c r="AH20" s="575"/>
      <c r="AI20" s="575"/>
      <c r="AJ20" s="575"/>
      <c r="AK20" s="575"/>
      <c r="AL20" s="576"/>
      <c r="AO20" s="52"/>
      <c r="AP20" s="52"/>
      <c r="AQ20" s="529"/>
      <c r="AR20" s="530"/>
      <c r="AS20" s="530"/>
      <c r="AT20" s="530"/>
      <c r="AU20" s="530"/>
      <c r="AV20" s="530"/>
      <c r="AW20" s="530"/>
      <c r="AX20" s="531"/>
      <c r="AY20" s="52"/>
      <c r="AZ20" s="52"/>
      <c r="BA20" s="52"/>
      <c r="BB20" s="56"/>
    </row>
    <row r="21" spans="1:54" ht="15" customHeight="1" x14ac:dyDescent="0.15">
      <c r="A21" s="61"/>
      <c r="B21" s="56"/>
      <c r="C21" s="97"/>
      <c r="D21" s="52"/>
      <c r="E21" s="66"/>
      <c r="F21" s="66"/>
      <c r="G21" s="66"/>
      <c r="H21" s="66"/>
      <c r="I21" s="66"/>
      <c r="J21" s="66"/>
      <c r="K21" s="66"/>
      <c r="L21" s="66"/>
      <c r="M21" s="52"/>
      <c r="N21" s="52"/>
      <c r="O21" s="66"/>
      <c r="P21" s="66"/>
      <c r="Q21" s="66"/>
      <c r="R21" s="52"/>
      <c r="S21" s="52"/>
      <c r="T21" s="52"/>
      <c r="U21" s="52"/>
      <c r="V21" s="52"/>
      <c r="W21" s="52"/>
      <c r="X21" s="104"/>
      <c r="Y21" s="52"/>
      <c r="Z21" s="52"/>
      <c r="AA21" s="52"/>
      <c r="AB21" s="52"/>
      <c r="AC21" s="52"/>
      <c r="AD21" s="66"/>
      <c r="AE21" s="66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6"/>
    </row>
    <row r="22" spans="1:54" ht="15" customHeight="1" x14ac:dyDescent="0.15">
      <c r="A22" s="61"/>
      <c r="B22" s="56"/>
      <c r="C22" s="97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66"/>
      <c r="O22" s="52"/>
      <c r="P22" s="52"/>
      <c r="Q22" s="52"/>
      <c r="R22" s="52"/>
      <c r="S22" s="52"/>
      <c r="T22" s="52"/>
      <c r="U22" s="52"/>
      <c r="V22" s="66"/>
      <c r="W22" s="52"/>
      <c r="X22" s="52"/>
      <c r="Y22" s="105"/>
      <c r="Z22" s="105"/>
      <c r="AA22" s="106"/>
      <c r="AB22" s="107"/>
      <c r="AC22" s="52"/>
      <c r="AD22" s="52"/>
      <c r="AE22" s="52"/>
      <c r="AF22" s="52"/>
      <c r="AG22" s="52"/>
      <c r="AH22" s="107"/>
      <c r="AI22" s="107"/>
      <c r="AJ22" s="107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6"/>
    </row>
    <row r="23" spans="1:54" ht="15" customHeight="1" x14ac:dyDescent="0.15">
      <c r="A23" s="61"/>
      <c r="B23" s="56"/>
      <c r="C23" s="97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66"/>
      <c r="O23" s="52"/>
      <c r="P23" s="52"/>
      <c r="Q23" s="52"/>
      <c r="R23" s="52"/>
      <c r="S23" s="52"/>
      <c r="T23" s="52"/>
      <c r="U23" s="52"/>
      <c r="V23" s="66"/>
      <c r="W23" s="52"/>
      <c r="X23" s="52"/>
      <c r="Y23" s="105"/>
      <c r="Z23" s="105"/>
      <c r="AA23" s="106"/>
      <c r="AB23" s="107"/>
      <c r="AC23" s="52"/>
      <c r="AD23" s="52"/>
      <c r="AE23" s="52"/>
      <c r="AF23" s="52"/>
      <c r="AG23" s="52"/>
      <c r="AH23" s="107"/>
      <c r="AI23" s="107"/>
      <c r="AJ23" s="107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6"/>
    </row>
    <row r="24" spans="1:54" ht="15" customHeight="1" x14ac:dyDescent="0.15">
      <c r="A24" s="61"/>
      <c r="B24" s="56"/>
      <c r="C24" s="97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6"/>
    </row>
    <row r="25" spans="1:54" ht="30" customHeight="1" x14ac:dyDescent="0.15">
      <c r="A25" s="61"/>
      <c r="B25" s="56"/>
      <c r="C25" s="97"/>
      <c r="D25" s="52"/>
      <c r="E25" s="52"/>
      <c r="F25" s="52"/>
      <c r="G25" s="52"/>
      <c r="H25" s="52"/>
      <c r="I25" s="52"/>
      <c r="J25" s="52"/>
      <c r="K25" s="52"/>
      <c r="L25" s="52"/>
      <c r="M25" s="52"/>
      <c r="O25" s="64"/>
      <c r="P25" s="64"/>
      <c r="Q25" s="64"/>
      <c r="R25" s="64"/>
      <c r="S25" s="64"/>
      <c r="T25" s="64"/>
      <c r="U25" s="64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6"/>
    </row>
    <row r="26" spans="1:54" ht="30" customHeight="1" x14ac:dyDescent="0.15">
      <c r="A26" s="61"/>
      <c r="B26" s="56"/>
      <c r="C26" s="97"/>
      <c r="D26" s="52" t="s">
        <v>462</v>
      </c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64"/>
      <c r="P26" s="64"/>
      <c r="Q26" s="64"/>
      <c r="R26" s="64"/>
      <c r="S26" s="64"/>
      <c r="T26" s="64"/>
      <c r="U26" s="64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6"/>
    </row>
    <row r="27" spans="1:54" ht="30" customHeight="1" x14ac:dyDescent="0.15">
      <c r="A27" s="61"/>
      <c r="B27" s="56"/>
      <c r="C27" s="97"/>
      <c r="D27" s="52" t="s">
        <v>365</v>
      </c>
      <c r="E27" s="106" t="s">
        <v>286</v>
      </c>
      <c r="F27" s="52"/>
      <c r="G27" s="52"/>
      <c r="H27" s="52"/>
      <c r="I27" s="52"/>
      <c r="J27" s="52"/>
      <c r="K27" s="52"/>
      <c r="M27" s="52"/>
      <c r="N27" s="52"/>
      <c r="O27" s="52"/>
      <c r="P27" s="52"/>
      <c r="Q27" s="52"/>
      <c r="R27" s="52" t="s">
        <v>279</v>
      </c>
      <c r="S27" s="52"/>
      <c r="T27" s="60"/>
      <c r="U27" s="60"/>
      <c r="W27" s="60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6"/>
    </row>
    <row r="28" spans="1:54" ht="30" customHeight="1" thickBot="1" x14ac:dyDescent="0.2">
      <c r="A28" s="91"/>
      <c r="B28" s="95"/>
      <c r="C28" s="110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5"/>
    </row>
  </sheetData>
  <mergeCells count="84">
    <mergeCell ref="AQ18:AX20"/>
    <mergeCell ref="AG7:AI7"/>
    <mergeCell ref="AN19:AO19"/>
    <mergeCell ref="AP7:AR7"/>
    <mergeCell ref="AS7:AU7"/>
    <mergeCell ref="AP10:BA10"/>
    <mergeCell ref="AP11:BA11"/>
    <mergeCell ref="AG10:AI10"/>
    <mergeCell ref="AV7:AX7"/>
    <mergeCell ref="AY7:BA7"/>
    <mergeCell ref="AM10:AO10"/>
    <mergeCell ref="AM7:AO7"/>
    <mergeCell ref="D11:E11"/>
    <mergeCell ref="D7:E7"/>
    <mergeCell ref="F7:H7"/>
    <mergeCell ref="I7:K7"/>
    <mergeCell ref="D10:E10"/>
    <mergeCell ref="AS6:AU6"/>
    <mergeCell ref="AV6:AX6"/>
    <mergeCell ref="AY6:BA6"/>
    <mergeCell ref="AP6:AR6"/>
    <mergeCell ref="AM6:AO6"/>
    <mergeCell ref="AD7:AF7"/>
    <mergeCell ref="AD6:AF6"/>
    <mergeCell ref="AG6:AI6"/>
    <mergeCell ref="AJ6:AL6"/>
    <mergeCell ref="AA10:AC10"/>
    <mergeCell ref="AD10:AF10"/>
    <mergeCell ref="AJ7:AL7"/>
    <mergeCell ref="AJ10:AL10"/>
    <mergeCell ref="X6:Z6"/>
    <mergeCell ref="AA6:AC6"/>
    <mergeCell ref="R6:T6"/>
    <mergeCell ref="D6:E6"/>
    <mergeCell ref="F10:H10"/>
    <mergeCell ref="L6:N6"/>
    <mergeCell ref="O6:Q6"/>
    <mergeCell ref="F6:H6"/>
    <mergeCell ref="L7:N7"/>
    <mergeCell ref="AA7:AC7"/>
    <mergeCell ref="X10:Z10"/>
    <mergeCell ref="X7:Z7"/>
    <mergeCell ref="I10:K10"/>
    <mergeCell ref="U7:W7"/>
    <mergeCell ref="O7:Q7"/>
    <mergeCell ref="C1:BB1"/>
    <mergeCell ref="AA5:AC5"/>
    <mergeCell ref="AD5:AF5"/>
    <mergeCell ref="AG5:AI5"/>
    <mergeCell ref="AS5:AU5"/>
    <mergeCell ref="F5:H5"/>
    <mergeCell ref="I5:K5"/>
    <mergeCell ref="L5:N5"/>
    <mergeCell ref="O5:Q5"/>
    <mergeCell ref="AS3:BA3"/>
    <mergeCell ref="AD4:AI4"/>
    <mergeCell ref="AJ4:AO4"/>
    <mergeCell ref="AP4:AU4"/>
    <mergeCell ref="AV4:BA4"/>
    <mergeCell ref="AY5:BA5"/>
    <mergeCell ref="AM5:AO5"/>
    <mergeCell ref="AJ5:AL5"/>
    <mergeCell ref="AV5:AX5"/>
    <mergeCell ref="AP5:AR5"/>
    <mergeCell ref="A5:A6"/>
    <mergeCell ref="F18:N20"/>
    <mergeCell ref="S18:Y20"/>
    <mergeCell ref="AD18:AL20"/>
    <mergeCell ref="P19:Q19"/>
    <mergeCell ref="AA19:AB19"/>
    <mergeCell ref="R7:T7"/>
    <mergeCell ref="U6:W6"/>
    <mergeCell ref="I6:K6"/>
    <mergeCell ref="U10:W10"/>
    <mergeCell ref="L10:N10"/>
    <mergeCell ref="O10:Q10"/>
    <mergeCell ref="R10:T10"/>
    <mergeCell ref="F4:K4"/>
    <mergeCell ref="L4:Q4"/>
    <mergeCell ref="R4:W4"/>
    <mergeCell ref="X4:AC4"/>
    <mergeCell ref="R5:T5"/>
    <mergeCell ref="U5:W5"/>
    <mergeCell ref="X5:Z5"/>
  </mergeCells>
  <phoneticPr fontId="11"/>
  <printOptions horizontalCentered="1" verticalCentered="1"/>
  <pageMargins left="0.59055118110236227" right="0.47" top="0.6" bottom="0.98425196850393704" header="0.51181102362204722" footer="0.51181102362204722"/>
  <pageSetup paperSize="9" scale="70" firstPageNumber="6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indexed="13"/>
  </sheetPr>
  <dimension ref="A1:Q90"/>
  <sheetViews>
    <sheetView view="pageBreakPreview" zoomScale="85" zoomScaleNormal="70" zoomScaleSheetLayoutView="70" workbookViewId="0">
      <selection activeCell="A26" sqref="A26"/>
    </sheetView>
  </sheetViews>
  <sheetFormatPr defaultRowHeight="30" customHeight="1" x14ac:dyDescent="0.15"/>
  <cols>
    <col min="1" max="1" width="11.625" style="426" customWidth="1"/>
    <col min="2" max="2" width="13.625" style="426" customWidth="1"/>
    <col min="3" max="3" width="2.125" style="426" customWidth="1"/>
    <col min="4" max="4" width="9" style="426"/>
    <col min="5" max="6" width="11.375" style="426" customWidth="1"/>
    <col min="7" max="16" width="12.875" style="426" customWidth="1"/>
    <col min="17" max="17" width="2.125" style="426" customWidth="1"/>
    <col min="18" max="16384" width="9" style="426"/>
  </cols>
  <sheetData>
    <row r="1" spans="1:17" ht="27" customHeight="1" thickBot="1" x14ac:dyDescent="0.2">
      <c r="A1" s="445" t="s">
        <v>467</v>
      </c>
      <c r="B1" s="425" t="s">
        <v>97</v>
      </c>
      <c r="C1" s="623" t="s">
        <v>53</v>
      </c>
      <c r="D1" s="624"/>
      <c r="E1" s="624"/>
      <c r="F1" s="624"/>
      <c r="G1" s="624"/>
      <c r="H1" s="624"/>
      <c r="I1" s="624"/>
      <c r="J1" s="624"/>
      <c r="K1" s="624"/>
      <c r="L1" s="624"/>
      <c r="M1" s="624"/>
      <c r="N1" s="624"/>
      <c r="O1" s="624"/>
      <c r="P1" s="624"/>
      <c r="Q1" s="625"/>
    </row>
    <row r="2" spans="1:17" ht="21.75" customHeight="1" x14ac:dyDescent="0.15">
      <c r="A2" s="427"/>
      <c r="B2" s="427"/>
      <c r="C2" s="630"/>
      <c r="D2" s="635" t="s">
        <v>457</v>
      </c>
      <c r="E2" s="635"/>
      <c r="F2" s="635"/>
      <c r="G2" s="635"/>
      <c r="H2" s="635"/>
      <c r="I2" s="635"/>
      <c r="J2" s="635"/>
      <c r="K2" s="635"/>
      <c r="L2" s="635"/>
      <c r="M2" s="635"/>
      <c r="N2" s="635"/>
      <c r="O2" s="635"/>
      <c r="P2" s="635"/>
      <c r="Q2" s="626"/>
    </row>
    <row r="3" spans="1:17" ht="21.75" customHeight="1" x14ac:dyDescent="0.15">
      <c r="A3" s="342" t="str">
        <f>+'現況､事業計画(1)～(3)'!A3</f>
        <v>○○市町村</v>
      </c>
      <c r="B3" s="621" t="str">
        <f>+'現況､事業計画(1)～(3)'!B3</f>
        <v>○○</v>
      </c>
      <c r="C3" s="630"/>
      <c r="D3" s="635"/>
      <c r="E3" s="635"/>
      <c r="F3" s="635"/>
      <c r="G3" s="635"/>
      <c r="H3" s="635"/>
      <c r="I3" s="635"/>
      <c r="J3" s="635"/>
      <c r="K3" s="635"/>
      <c r="L3" s="635"/>
      <c r="M3" s="635"/>
      <c r="N3" s="635"/>
      <c r="O3" s="635"/>
      <c r="P3" s="635"/>
      <c r="Q3" s="626"/>
    </row>
    <row r="4" spans="1:17" ht="21.75" customHeight="1" x14ac:dyDescent="0.15">
      <c r="A4" s="342" t="str">
        <f>+'現況､事業計画(1)～(3)'!A4</f>
        <v>○○地区</v>
      </c>
      <c r="B4" s="622"/>
      <c r="C4" s="630"/>
      <c r="D4" s="635"/>
      <c r="E4" s="635"/>
      <c r="F4" s="635"/>
      <c r="G4" s="635"/>
      <c r="H4" s="635"/>
      <c r="I4" s="635"/>
      <c r="J4" s="635"/>
      <c r="K4" s="635"/>
      <c r="L4" s="635"/>
      <c r="M4" s="635"/>
      <c r="N4" s="635"/>
      <c r="O4" s="635"/>
      <c r="P4" s="635"/>
      <c r="Q4" s="626"/>
    </row>
    <row r="5" spans="1:17" ht="39.75" customHeight="1" x14ac:dyDescent="0.15">
      <c r="A5" s="59" t="str">
        <f>+'現況､事業計画(1)～(3)'!A5</f>
        <v>○○生産組合</v>
      </c>
      <c r="B5" s="385" t="str">
        <f>+'現況､事業計画(1)～(3)'!B5</f>
        <v>（型）</v>
      </c>
      <c r="C5" s="630"/>
      <c r="D5" s="636" t="s">
        <v>437</v>
      </c>
      <c r="E5" s="636"/>
      <c r="F5" s="636"/>
      <c r="G5" s="636"/>
      <c r="H5" s="636"/>
      <c r="I5" s="636"/>
      <c r="J5" s="636"/>
      <c r="K5" s="636"/>
      <c r="L5" s="636"/>
      <c r="M5" s="636"/>
      <c r="N5" s="636"/>
      <c r="O5" s="636"/>
      <c r="P5" s="636"/>
      <c r="Q5" s="626"/>
    </row>
    <row r="6" spans="1:17" ht="32.25" customHeight="1" x14ac:dyDescent="0.15">
      <c r="A6" s="427"/>
      <c r="B6" s="427"/>
      <c r="C6" s="630"/>
      <c r="D6" s="629"/>
      <c r="E6" s="629"/>
      <c r="F6" s="629"/>
      <c r="G6" s="428" t="str">
        <f>'現況､事業計画(1)～(3)'!D11</f>
        <v>Ａ</v>
      </c>
      <c r="H6" s="428" t="str">
        <f>'現況､事業計画(1)～(3)'!D12</f>
        <v>Ｂ</v>
      </c>
      <c r="I6" s="352" t="str">
        <f>'現況､事業計画(1)～(3)'!D13</f>
        <v>Ｃ</v>
      </c>
      <c r="J6" s="352" t="str">
        <f>'現況､事業計画(1)～(3)'!D14</f>
        <v>Ｄ</v>
      </c>
      <c r="K6" s="428" t="str">
        <f>'現況､事業計画(1)～(3)'!D15</f>
        <v>Ｅ</v>
      </c>
      <c r="L6" s="352" t="str">
        <f>'現況､事業計画(1)～(3)'!D16</f>
        <v>Ｆ</v>
      </c>
      <c r="M6" s="429"/>
      <c r="N6" s="429"/>
      <c r="O6" s="429"/>
      <c r="P6" s="41" t="s">
        <v>54</v>
      </c>
      <c r="Q6" s="626"/>
    </row>
    <row r="7" spans="1:17" ht="32.25" customHeight="1" x14ac:dyDescent="0.15">
      <c r="A7" s="427"/>
      <c r="B7" s="430"/>
      <c r="C7" s="630"/>
      <c r="D7" s="637" t="s">
        <v>55</v>
      </c>
      <c r="E7" s="629" t="s">
        <v>438</v>
      </c>
      <c r="F7" s="352" t="s">
        <v>56</v>
      </c>
      <c r="G7" s="431">
        <v>38.61</v>
      </c>
      <c r="H7" s="431">
        <v>23.1</v>
      </c>
      <c r="I7" s="431">
        <v>36.299999999999997</v>
      </c>
      <c r="J7" s="431">
        <v>0</v>
      </c>
      <c r="K7" s="431">
        <v>16.5</v>
      </c>
      <c r="L7" s="431">
        <v>0</v>
      </c>
      <c r="M7" s="431"/>
      <c r="N7" s="431"/>
      <c r="O7" s="431"/>
      <c r="P7" s="431">
        <f t="shared" ref="P7:P22" si="0">SUM(G7:O7)</f>
        <v>114.50999999999999</v>
      </c>
      <c r="Q7" s="626"/>
    </row>
    <row r="8" spans="1:17" ht="32.25" customHeight="1" x14ac:dyDescent="0.15">
      <c r="A8" s="427"/>
      <c r="B8" s="432"/>
      <c r="C8" s="630"/>
      <c r="D8" s="637"/>
      <c r="E8" s="629"/>
      <c r="F8" s="352" t="s">
        <v>227</v>
      </c>
      <c r="G8" s="431">
        <v>20</v>
      </c>
      <c r="H8" s="431">
        <v>25</v>
      </c>
      <c r="I8" s="431">
        <v>38</v>
      </c>
      <c r="J8" s="431">
        <v>0</v>
      </c>
      <c r="K8" s="431">
        <v>11</v>
      </c>
      <c r="L8" s="431">
        <v>0</v>
      </c>
      <c r="M8" s="431"/>
      <c r="N8" s="431"/>
      <c r="O8" s="431"/>
      <c r="P8" s="431">
        <f t="shared" si="0"/>
        <v>94</v>
      </c>
      <c r="Q8" s="626"/>
    </row>
    <row r="9" spans="1:17" ht="32.25" customHeight="1" x14ac:dyDescent="0.15">
      <c r="A9" s="427"/>
      <c r="B9" s="432"/>
      <c r="C9" s="630"/>
      <c r="D9" s="637"/>
      <c r="E9" s="629" t="s">
        <v>439</v>
      </c>
      <c r="F9" s="352" t="s">
        <v>56</v>
      </c>
      <c r="G9" s="431"/>
      <c r="H9" s="431"/>
      <c r="I9" s="431"/>
      <c r="J9" s="431">
        <v>10</v>
      </c>
      <c r="K9" s="431"/>
      <c r="L9" s="431"/>
      <c r="M9" s="431"/>
      <c r="N9" s="431"/>
      <c r="O9" s="431"/>
      <c r="P9" s="431">
        <f t="shared" si="0"/>
        <v>10</v>
      </c>
      <c r="Q9" s="626"/>
    </row>
    <row r="10" spans="1:17" ht="32.25" customHeight="1" x14ac:dyDescent="0.15">
      <c r="A10" s="427"/>
      <c r="B10" s="432"/>
      <c r="C10" s="630"/>
      <c r="D10" s="637"/>
      <c r="E10" s="629"/>
      <c r="F10" s="352" t="s">
        <v>227</v>
      </c>
      <c r="G10" s="433" t="str">
        <f>IF(G9=0,"",ROUNDDOWN(G9*1500,0))</f>
        <v/>
      </c>
      <c r="H10" s="433"/>
      <c r="I10" s="433" t="str">
        <f>IF(I9=0,"",ROUNDDOWN(I9*1500,0))</f>
        <v/>
      </c>
      <c r="J10" s="433">
        <f>IF(J9=0,"",ROUNDDOWN(J9*1.3,0))</f>
        <v>13</v>
      </c>
      <c r="K10" s="433"/>
      <c r="L10" s="433"/>
      <c r="M10" s="433"/>
      <c r="N10" s="433"/>
      <c r="O10" s="433"/>
      <c r="P10" s="433">
        <f t="shared" si="0"/>
        <v>13</v>
      </c>
      <c r="Q10" s="626"/>
    </row>
    <row r="11" spans="1:17" ht="32.25" customHeight="1" x14ac:dyDescent="0.15">
      <c r="A11" s="427"/>
      <c r="B11" s="432"/>
      <c r="C11" s="630"/>
      <c r="D11" s="637"/>
      <c r="E11" s="628" t="s">
        <v>440</v>
      </c>
      <c r="F11" s="352" t="s">
        <v>56</v>
      </c>
      <c r="G11" s="431"/>
      <c r="H11" s="431">
        <v>10</v>
      </c>
      <c r="I11" s="431"/>
      <c r="J11" s="431"/>
      <c r="K11" s="431"/>
      <c r="L11" s="431"/>
      <c r="M11" s="431"/>
      <c r="N11" s="431"/>
      <c r="O11" s="431"/>
      <c r="P11" s="431">
        <f t="shared" si="0"/>
        <v>10</v>
      </c>
      <c r="Q11" s="626"/>
    </row>
    <row r="12" spans="1:17" ht="32.25" customHeight="1" x14ac:dyDescent="0.15">
      <c r="A12" s="427"/>
      <c r="B12" s="432"/>
      <c r="C12" s="630"/>
      <c r="D12" s="637"/>
      <c r="E12" s="629"/>
      <c r="F12" s="352" t="s">
        <v>227</v>
      </c>
      <c r="G12" s="431"/>
      <c r="H12" s="431">
        <f>IF(H11=0,"",ROUNDDOWN(H11*0.5,2))</f>
        <v>5</v>
      </c>
      <c r="I12" s="431" t="str">
        <f>IF(I11=0,"",ROUNDDOWN(I11*0.7,2))</f>
        <v/>
      </c>
      <c r="J12" s="431"/>
      <c r="K12" s="431"/>
      <c r="L12" s="431"/>
      <c r="M12" s="431"/>
      <c r="N12" s="431"/>
      <c r="O12" s="431"/>
      <c r="P12" s="431">
        <f t="shared" si="0"/>
        <v>5</v>
      </c>
      <c r="Q12" s="626"/>
    </row>
    <row r="13" spans="1:17" ht="32.25" customHeight="1" x14ac:dyDescent="0.15">
      <c r="A13" s="427"/>
      <c r="B13" s="432"/>
      <c r="C13" s="630"/>
      <c r="D13" s="637" t="s">
        <v>237</v>
      </c>
      <c r="E13" s="629" t="s">
        <v>441</v>
      </c>
      <c r="F13" s="352" t="s">
        <v>56</v>
      </c>
      <c r="G13" s="431"/>
      <c r="H13" s="431"/>
      <c r="I13" s="431">
        <v>16.5</v>
      </c>
      <c r="J13" s="431">
        <v>33</v>
      </c>
      <c r="K13" s="431"/>
      <c r="L13" s="431"/>
      <c r="M13" s="431"/>
      <c r="N13" s="431"/>
      <c r="O13" s="431"/>
      <c r="P13" s="431">
        <f t="shared" si="0"/>
        <v>49.5</v>
      </c>
      <c r="Q13" s="626"/>
    </row>
    <row r="14" spans="1:17" ht="32.25" customHeight="1" x14ac:dyDescent="0.15">
      <c r="A14" s="427"/>
      <c r="B14" s="432"/>
      <c r="C14" s="630"/>
      <c r="D14" s="637"/>
      <c r="E14" s="629"/>
      <c r="F14" s="352" t="s">
        <v>227</v>
      </c>
      <c r="G14" s="433" t="str">
        <f>IF(G13=0,"",ROUNDDOWN(G13*1200,0))</f>
        <v/>
      </c>
      <c r="H14" s="433" t="str">
        <f>IF(H13=0,"",ROUNDDOWN(H13*1200,0))</f>
        <v/>
      </c>
      <c r="I14" s="433">
        <f>IF(I13=0,"",ROUNDDOWN(I13*0.8,0))</f>
        <v>13</v>
      </c>
      <c r="J14" s="433">
        <f>IF(J13=0,"",ROUNDDOWN(J13*0.8,0))</f>
        <v>26</v>
      </c>
      <c r="K14" s="433" t="str">
        <f>IF(K13=0,"",ROUNDDOWN(K13*1200,0))</f>
        <v/>
      </c>
      <c r="L14" s="433" t="str">
        <f>IF(L13=0,"",ROUNDDOWN(L13*1200,0))</f>
        <v/>
      </c>
      <c r="M14" s="433"/>
      <c r="N14" s="433"/>
      <c r="O14" s="433"/>
      <c r="P14" s="433">
        <f t="shared" si="0"/>
        <v>39</v>
      </c>
      <c r="Q14" s="626"/>
    </row>
    <row r="15" spans="1:17" ht="32.25" customHeight="1" x14ac:dyDescent="0.15">
      <c r="A15" s="427"/>
      <c r="B15" s="432"/>
      <c r="C15" s="630"/>
      <c r="D15" s="637"/>
      <c r="E15" s="629"/>
      <c r="F15" s="352" t="s">
        <v>56</v>
      </c>
      <c r="G15" s="431"/>
      <c r="H15" s="431"/>
      <c r="I15" s="431"/>
      <c r="J15" s="431"/>
      <c r="K15" s="431"/>
      <c r="L15" s="431"/>
      <c r="M15" s="431"/>
      <c r="N15" s="431"/>
      <c r="O15" s="431"/>
      <c r="P15" s="431">
        <f t="shared" si="0"/>
        <v>0</v>
      </c>
      <c r="Q15" s="626"/>
    </row>
    <row r="16" spans="1:17" ht="32.25" customHeight="1" x14ac:dyDescent="0.15">
      <c r="A16" s="427"/>
      <c r="B16" s="432"/>
      <c r="C16" s="630"/>
      <c r="D16" s="637"/>
      <c r="E16" s="629"/>
      <c r="F16" s="352" t="s">
        <v>227</v>
      </c>
      <c r="G16" s="431"/>
      <c r="H16" s="431"/>
      <c r="I16" s="431"/>
      <c r="J16" s="431"/>
      <c r="K16" s="431"/>
      <c r="L16" s="431"/>
      <c r="M16" s="431"/>
      <c r="N16" s="431"/>
      <c r="O16" s="431"/>
      <c r="P16" s="431">
        <f t="shared" si="0"/>
        <v>0</v>
      </c>
      <c r="Q16" s="626"/>
    </row>
    <row r="17" spans="1:17" ht="32.25" customHeight="1" x14ac:dyDescent="0.15">
      <c r="A17" s="427"/>
      <c r="B17" s="432"/>
      <c r="C17" s="630"/>
      <c r="D17" s="637"/>
      <c r="E17" s="629"/>
      <c r="F17" s="352" t="s">
        <v>56</v>
      </c>
      <c r="G17" s="431"/>
      <c r="H17" s="431"/>
      <c r="I17" s="431"/>
      <c r="J17" s="431"/>
      <c r="K17" s="431"/>
      <c r="L17" s="431"/>
      <c r="M17" s="431"/>
      <c r="N17" s="431"/>
      <c r="O17" s="431"/>
      <c r="P17" s="431">
        <f t="shared" si="0"/>
        <v>0</v>
      </c>
      <c r="Q17" s="626"/>
    </row>
    <row r="18" spans="1:17" ht="32.25" customHeight="1" x14ac:dyDescent="0.15">
      <c r="A18" s="427"/>
      <c r="B18" s="432"/>
      <c r="C18" s="630"/>
      <c r="D18" s="637"/>
      <c r="E18" s="629"/>
      <c r="F18" s="352" t="s">
        <v>227</v>
      </c>
      <c r="G18" s="431" t="str">
        <f>IF(G17=0,"",ROUNDDOWN(G17*0.1,2))</f>
        <v/>
      </c>
      <c r="H18" s="431" t="str">
        <f>IF(H17=0,"",ROUNDDOWN(H17*0.1,2))</f>
        <v/>
      </c>
      <c r="I18" s="431" t="str">
        <f>IF(I17=0,"",ROUNDDOWN(I17*0.1,2))</f>
        <v/>
      </c>
      <c r="J18" s="431"/>
      <c r="K18" s="431"/>
      <c r="L18" s="431"/>
      <c r="M18" s="431"/>
      <c r="N18" s="431"/>
      <c r="O18" s="431"/>
      <c r="P18" s="431">
        <f t="shared" si="0"/>
        <v>0</v>
      </c>
      <c r="Q18" s="626"/>
    </row>
    <row r="19" spans="1:17" ht="32.25" customHeight="1" x14ac:dyDescent="0.15">
      <c r="A19" s="427"/>
      <c r="B19" s="432"/>
      <c r="C19" s="630"/>
      <c r="D19" s="637"/>
      <c r="E19" s="629"/>
      <c r="F19" s="352" t="s">
        <v>56</v>
      </c>
      <c r="G19" s="431"/>
      <c r="H19" s="431"/>
      <c r="I19" s="431"/>
      <c r="J19" s="431"/>
      <c r="K19" s="431"/>
      <c r="L19" s="431"/>
      <c r="M19" s="431"/>
      <c r="N19" s="431"/>
      <c r="O19" s="431"/>
      <c r="P19" s="431">
        <f t="shared" si="0"/>
        <v>0</v>
      </c>
      <c r="Q19" s="626"/>
    </row>
    <row r="20" spans="1:17" ht="32.25" customHeight="1" x14ac:dyDescent="0.15">
      <c r="A20" s="427"/>
      <c r="B20" s="432"/>
      <c r="C20" s="630"/>
      <c r="D20" s="637"/>
      <c r="E20" s="629"/>
      <c r="F20" s="352" t="s">
        <v>227</v>
      </c>
      <c r="G20" s="431" t="str">
        <f>IF(G19=0,"",ROUNDDOWN(G19*0.1,2))</f>
        <v/>
      </c>
      <c r="H20" s="431" t="str">
        <f>IF(H19=0,"",ROUNDDOWN(H19*0.1,2))</f>
        <v/>
      </c>
      <c r="I20" s="431" t="str">
        <f>IF(I19=0,"",ROUNDDOWN(I19*0.1,2))</f>
        <v/>
      </c>
      <c r="J20" s="431"/>
      <c r="K20" s="431"/>
      <c r="L20" s="431"/>
      <c r="M20" s="431"/>
      <c r="N20" s="431"/>
      <c r="O20" s="431"/>
      <c r="P20" s="431">
        <f t="shared" si="0"/>
        <v>0</v>
      </c>
      <c r="Q20" s="626"/>
    </row>
    <row r="21" spans="1:17" ht="32.25" customHeight="1" x14ac:dyDescent="0.15">
      <c r="A21" s="427"/>
      <c r="B21" s="432"/>
      <c r="C21" s="630"/>
      <c r="D21" s="637"/>
      <c r="E21" s="629"/>
      <c r="F21" s="352" t="s">
        <v>56</v>
      </c>
      <c r="G21" s="431"/>
      <c r="H21" s="431"/>
      <c r="I21" s="431"/>
      <c r="J21" s="431"/>
      <c r="K21" s="431"/>
      <c r="L21" s="431"/>
      <c r="M21" s="431"/>
      <c r="N21" s="431"/>
      <c r="O21" s="431"/>
      <c r="P21" s="431">
        <f t="shared" si="0"/>
        <v>0</v>
      </c>
      <c r="Q21" s="626"/>
    </row>
    <row r="22" spans="1:17" ht="32.25" customHeight="1" x14ac:dyDescent="0.15">
      <c r="A22" s="427"/>
      <c r="B22" s="432"/>
      <c r="C22" s="630"/>
      <c r="D22" s="637"/>
      <c r="E22" s="629"/>
      <c r="F22" s="352" t="s">
        <v>227</v>
      </c>
      <c r="G22" s="431" t="str">
        <f>IF(G21=0,"",ROUNDDOWN(G21*0.1,2))</f>
        <v/>
      </c>
      <c r="H22" s="431" t="str">
        <f>IF(H21=0,"",ROUNDDOWN(H21*0.1,2))</f>
        <v/>
      </c>
      <c r="I22" s="431" t="str">
        <f>IF(I21=0,"",ROUNDDOWN(I21*0.1,2))</f>
        <v/>
      </c>
      <c r="J22" s="431"/>
      <c r="K22" s="431"/>
      <c r="L22" s="431"/>
      <c r="M22" s="431"/>
      <c r="N22" s="431"/>
      <c r="O22" s="431"/>
      <c r="P22" s="431">
        <f t="shared" si="0"/>
        <v>0</v>
      </c>
      <c r="Q22" s="626"/>
    </row>
    <row r="23" spans="1:17" ht="48.75" customHeight="1" x14ac:dyDescent="0.15">
      <c r="A23" s="427"/>
      <c r="B23" s="432"/>
      <c r="C23" s="630"/>
      <c r="D23" s="633" t="s">
        <v>57</v>
      </c>
      <c r="E23" s="634"/>
      <c r="F23" s="434" t="s">
        <v>56</v>
      </c>
      <c r="G23" s="431">
        <f t="shared" ref="G23:L23" ca="1" si="1">SUMIF($F$7:$P$22,$F$23,G$7:G$22)</f>
        <v>38.61</v>
      </c>
      <c r="H23" s="431">
        <f t="shared" ca="1" si="1"/>
        <v>33.1</v>
      </c>
      <c r="I23" s="431">
        <f t="shared" ca="1" si="1"/>
        <v>52.8</v>
      </c>
      <c r="J23" s="431">
        <f t="shared" ca="1" si="1"/>
        <v>43</v>
      </c>
      <c r="K23" s="431">
        <f t="shared" ca="1" si="1"/>
        <v>16.5</v>
      </c>
      <c r="L23" s="431">
        <f t="shared" ca="1" si="1"/>
        <v>0</v>
      </c>
      <c r="M23" s="431"/>
      <c r="N23" s="431"/>
      <c r="O23" s="431"/>
      <c r="P23" s="431">
        <f ca="1">SUMIF($F$7:$P$22,$F$23,P$7:P$22)</f>
        <v>184.01</v>
      </c>
      <c r="Q23" s="626"/>
    </row>
    <row r="24" spans="1:17" ht="15.75" customHeight="1" x14ac:dyDescent="0.15">
      <c r="A24" s="427"/>
      <c r="B24" s="432"/>
      <c r="C24" s="630"/>
      <c r="D24" s="632"/>
      <c r="E24" s="632"/>
      <c r="F24" s="632"/>
      <c r="G24" s="632"/>
      <c r="H24" s="632"/>
      <c r="I24" s="632"/>
      <c r="J24" s="632"/>
      <c r="K24" s="632"/>
      <c r="L24" s="632"/>
      <c r="M24" s="632"/>
      <c r="N24" s="632"/>
      <c r="O24" s="632"/>
      <c r="P24" s="632"/>
      <c r="Q24" s="626"/>
    </row>
    <row r="25" spans="1:17" ht="15.75" customHeight="1" thickBot="1" x14ac:dyDescent="0.2">
      <c r="A25" s="435"/>
      <c r="B25" s="436"/>
      <c r="C25" s="631"/>
      <c r="D25" s="631"/>
      <c r="E25" s="631"/>
      <c r="F25" s="631"/>
      <c r="G25" s="631"/>
      <c r="H25" s="631"/>
      <c r="I25" s="631"/>
      <c r="J25" s="631"/>
      <c r="K25" s="631"/>
      <c r="L25" s="631"/>
      <c r="M25" s="631"/>
      <c r="N25" s="631"/>
      <c r="O25" s="631"/>
      <c r="P25" s="631"/>
      <c r="Q25" s="627"/>
    </row>
    <row r="26" spans="1:17" ht="27" customHeight="1" thickBot="1" x14ac:dyDescent="0.2">
      <c r="A26" s="445" t="s">
        <v>467</v>
      </c>
      <c r="B26" s="425" t="s">
        <v>97</v>
      </c>
      <c r="C26" s="623" t="s">
        <v>53</v>
      </c>
      <c r="D26" s="624"/>
      <c r="E26" s="624"/>
      <c r="F26" s="624"/>
      <c r="G26" s="624"/>
      <c r="H26" s="624"/>
      <c r="I26" s="624"/>
      <c r="J26" s="624"/>
      <c r="K26" s="624"/>
      <c r="L26" s="624"/>
      <c r="M26" s="624"/>
      <c r="N26" s="624"/>
      <c r="O26" s="624"/>
      <c r="P26" s="624"/>
      <c r="Q26" s="625"/>
    </row>
    <row r="27" spans="1:17" ht="21.75" customHeight="1" x14ac:dyDescent="0.15">
      <c r="A27" s="427"/>
      <c r="B27" s="427"/>
      <c r="C27" s="630"/>
      <c r="D27" s="639" t="s">
        <v>228</v>
      </c>
      <c r="E27" s="639"/>
      <c r="F27" s="639"/>
      <c r="G27" s="639"/>
      <c r="H27" s="639"/>
      <c r="I27" s="639"/>
      <c r="J27" s="639"/>
      <c r="K27" s="639"/>
      <c r="L27" s="639"/>
      <c r="M27" s="639"/>
      <c r="N27" s="639"/>
      <c r="O27" s="639"/>
      <c r="P27" s="639"/>
      <c r="Q27" s="626"/>
    </row>
    <row r="28" spans="1:17" ht="21.75" customHeight="1" x14ac:dyDescent="0.15">
      <c r="A28" s="340" t="str">
        <f>+A3</f>
        <v>○○市町村</v>
      </c>
      <c r="B28" s="621" t="str">
        <f>+B3</f>
        <v>○○</v>
      </c>
      <c r="C28" s="630"/>
      <c r="D28" s="639"/>
      <c r="E28" s="639"/>
      <c r="F28" s="639"/>
      <c r="G28" s="639"/>
      <c r="H28" s="639"/>
      <c r="I28" s="639"/>
      <c r="J28" s="639"/>
      <c r="K28" s="639"/>
      <c r="L28" s="639"/>
      <c r="M28" s="639"/>
      <c r="N28" s="639"/>
      <c r="O28" s="639"/>
      <c r="P28" s="639"/>
      <c r="Q28" s="626"/>
    </row>
    <row r="29" spans="1:17" ht="21.75" customHeight="1" x14ac:dyDescent="0.15">
      <c r="A29" s="340" t="str">
        <f>+A4</f>
        <v>○○地区</v>
      </c>
      <c r="B29" s="621"/>
      <c r="C29" s="630"/>
      <c r="D29" s="639"/>
      <c r="E29" s="639"/>
      <c r="F29" s="639"/>
      <c r="G29" s="639"/>
      <c r="H29" s="639"/>
      <c r="I29" s="639"/>
      <c r="J29" s="639"/>
      <c r="K29" s="639"/>
      <c r="L29" s="639"/>
      <c r="M29" s="639"/>
      <c r="N29" s="639"/>
      <c r="O29" s="639"/>
      <c r="P29" s="639"/>
      <c r="Q29" s="626"/>
    </row>
    <row r="30" spans="1:17" ht="21.75" customHeight="1" x14ac:dyDescent="0.15">
      <c r="A30" s="638" t="str">
        <f>+A5</f>
        <v>○○生産組合</v>
      </c>
      <c r="B30" s="437" t="str">
        <f>+B5</f>
        <v>（型）</v>
      </c>
      <c r="C30" s="630"/>
      <c r="D30" s="636"/>
      <c r="E30" s="636"/>
      <c r="F30" s="636"/>
      <c r="G30" s="636"/>
      <c r="H30" s="636"/>
      <c r="I30" s="636"/>
      <c r="J30" s="636"/>
      <c r="K30" s="636"/>
      <c r="L30" s="636"/>
      <c r="M30" s="636"/>
      <c r="N30" s="636"/>
      <c r="O30" s="636"/>
      <c r="P30" s="636"/>
      <c r="Q30" s="626"/>
    </row>
    <row r="31" spans="1:17" ht="32.25" customHeight="1" x14ac:dyDescent="0.15">
      <c r="A31" s="638"/>
      <c r="B31" s="427"/>
      <c r="C31" s="630"/>
      <c r="D31" s="629"/>
      <c r="E31" s="629"/>
      <c r="F31" s="629"/>
      <c r="G31" s="428" t="str">
        <f t="shared" ref="G31:L31" si="2">G6</f>
        <v>Ａ</v>
      </c>
      <c r="H31" s="428" t="str">
        <f t="shared" si="2"/>
        <v>Ｂ</v>
      </c>
      <c r="I31" s="428" t="str">
        <f t="shared" si="2"/>
        <v>Ｃ</v>
      </c>
      <c r="J31" s="428" t="str">
        <f t="shared" si="2"/>
        <v>Ｄ</v>
      </c>
      <c r="K31" s="428" t="str">
        <f t="shared" si="2"/>
        <v>Ｅ</v>
      </c>
      <c r="L31" s="428" t="str">
        <f t="shared" si="2"/>
        <v>Ｆ</v>
      </c>
      <c r="M31" s="429"/>
      <c r="N31" s="429"/>
      <c r="O31" s="429"/>
      <c r="P31" s="41" t="s">
        <v>54</v>
      </c>
      <c r="Q31" s="626"/>
    </row>
    <row r="32" spans="1:17" ht="32.25" customHeight="1" x14ac:dyDescent="0.15">
      <c r="A32" s="427"/>
      <c r="B32" s="438"/>
      <c r="C32" s="630"/>
      <c r="D32" s="640" t="s">
        <v>58</v>
      </c>
      <c r="E32" s="629" t="s">
        <v>442</v>
      </c>
      <c r="F32" s="352" t="s">
        <v>56</v>
      </c>
      <c r="G32" s="431">
        <v>10.53</v>
      </c>
      <c r="H32" s="431">
        <v>15.22</v>
      </c>
      <c r="I32" s="431">
        <v>7.8</v>
      </c>
      <c r="J32" s="431">
        <v>12.48</v>
      </c>
      <c r="K32" s="431">
        <v>20.67</v>
      </c>
      <c r="L32" s="431">
        <v>10.53</v>
      </c>
      <c r="M32" s="431"/>
      <c r="N32" s="431"/>
      <c r="O32" s="431"/>
      <c r="P32" s="431">
        <f>SUM(G32:O32)</f>
        <v>77.23</v>
      </c>
      <c r="Q32" s="626"/>
    </row>
    <row r="33" spans="1:17" ht="32.25" customHeight="1" x14ac:dyDescent="0.15">
      <c r="A33" s="427"/>
      <c r="B33" s="427"/>
      <c r="C33" s="630"/>
      <c r="D33" s="641"/>
      <c r="E33" s="629"/>
      <c r="F33" s="352" t="s">
        <v>227</v>
      </c>
      <c r="G33" s="431">
        <f t="shared" ref="G33:L33" si="3">IF(G32=0,"",ROUNDDOWN(G32*0.95,3))</f>
        <v>10.003</v>
      </c>
      <c r="H33" s="431">
        <f t="shared" si="3"/>
        <v>14.459</v>
      </c>
      <c r="I33" s="431">
        <f t="shared" si="3"/>
        <v>7.41</v>
      </c>
      <c r="J33" s="431">
        <f t="shared" si="3"/>
        <v>11.856</v>
      </c>
      <c r="K33" s="431">
        <f t="shared" si="3"/>
        <v>19.635999999999999</v>
      </c>
      <c r="L33" s="431">
        <f t="shared" si="3"/>
        <v>10.003</v>
      </c>
      <c r="M33" s="431"/>
      <c r="N33" s="431"/>
      <c r="O33" s="431"/>
      <c r="P33" s="431">
        <f>SUM(G33:O33)</f>
        <v>73.367000000000004</v>
      </c>
      <c r="Q33" s="626"/>
    </row>
    <row r="34" spans="1:17" ht="32.25" customHeight="1" x14ac:dyDescent="0.15">
      <c r="A34" s="427"/>
      <c r="B34" s="427"/>
      <c r="C34" s="630"/>
      <c r="D34" s="641"/>
      <c r="E34" s="629"/>
      <c r="F34" s="352" t="s">
        <v>56</v>
      </c>
      <c r="G34" s="431"/>
      <c r="H34" s="431"/>
      <c r="I34" s="431"/>
      <c r="J34" s="431"/>
      <c r="K34" s="431"/>
      <c r="L34" s="431"/>
      <c r="M34" s="431"/>
      <c r="N34" s="431"/>
      <c r="O34" s="431"/>
      <c r="P34" s="431"/>
      <c r="Q34" s="626"/>
    </row>
    <row r="35" spans="1:17" ht="32.25" customHeight="1" x14ac:dyDescent="0.15">
      <c r="A35" s="427"/>
      <c r="B35" s="427"/>
      <c r="C35" s="630"/>
      <c r="D35" s="641"/>
      <c r="E35" s="629"/>
      <c r="F35" s="352" t="s">
        <v>227</v>
      </c>
      <c r="G35" s="431" t="str">
        <f>IF(G34=0,"",ROUNDDOWN(G34*0.1059,2))</f>
        <v/>
      </c>
      <c r="H35" s="431" t="str">
        <f>IF(H34=0,"",ROUNDDOWN(H34*0.1059,2))</f>
        <v/>
      </c>
      <c r="I35" s="431" t="str">
        <f>IF(I34=0,"",ROUNDDOWN(I34*0.1059,2))</f>
        <v/>
      </c>
      <c r="J35" s="431"/>
      <c r="K35" s="431"/>
      <c r="L35" s="431"/>
      <c r="M35" s="431"/>
      <c r="N35" s="431"/>
      <c r="O35" s="431"/>
      <c r="P35" s="431"/>
      <c r="Q35" s="626"/>
    </row>
    <row r="36" spans="1:17" ht="32.25" customHeight="1" x14ac:dyDescent="0.15">
      <c r="A36" s="427"/>
      <c r="B36" s="427"/>
      <c r="C36" s="630"/>
      <c r="D36" s="640" t="s">
        <v>59</v>
      </c>
      <c r="E36" s="629" t="s">
        <v>443</v>
      </c>
      <c r="F36" s="352" t="s">
        <v>56</v>
      </c>
      <c r="G36" s="431">
        <v>38.61</v>
      </c>
      <c r="H36" s="431">
        <v>23.1</v>
      </c>
      <c r="I36" s="431">
        <v>36.299999999999997</v>
      </c>
      <c r="J36" s="431">
        <v>0</v>
      </c>
      <c r="K36" s="431">
        <v>16.5</v>
      </c>
      <c r="L36" s="431">
        <v>0</v>
      </c>
      <c r="M36" s="431"/>
      <c r="N36" s="431"/>
      <c r="O36" s="431"/>
      <c r="P36" s="431">
        <f t="shared" ref="P36:P47" si="4">SUM(G36:O36)</f>
        <v>114.50999999999999</v>
      </c>
      <c r="Q36" s="626"/>
    </row>
    <row r="37" spans="1:17" ht="32.25" customHeight="1" x14ac:dyDescent="0.15">
      <c r="A37" s="427"/>
      <c r="B37" s="427"/>
      <c r="C37" s="630"/>
      <c r="D37" s="641"/>
      <c r="E37" s="629"/>
      <c r="F37" s="352" t="s">
        <v>227</v>
      </c>
      <c r="G37" s="431">
        <v>20</v>
      </c>
      <c r="H37" s="431">
        <v>25</v>
      </c>
      <c r="I37" s="431">
        <v>38</v>
      </c>
      <c r="J37" s="431">
        <v>0</v>
      </c>
      <c r="K37" s="431">
        <v>11</v>
      </c>
      <c r="L37" s="431">
        <v>0</v>
      </c>
      <c r="M37" s="431"/>
      <c r="N37" s="431"/>
      <c r="O37" s="431"/>
      <c r="P37" s="431">
        <f t="shared" si="4"/>
        <v>94</v>
      </c>
      <c r="Q37" s="626"/>
    </row>
    <row r="38" spans="1:17" ht="32.25" customHeight="1" x14ac:dyDescent="0.15">
      <c r="A38" s="427"/>
      <c r="B38" s="427"/>
      <c r="C38" s="630"/>
      <c r="D38" s="641"/>
      <c r="E38" s="629" t="s">
        <v>439</v>
      </c>
      <c r="F38" s="351" t="s">
        <v>9</v>
      </c>
      <c r="G38" s="431"/>
      <c r="H38" s="431"/>
      <c r="I38" s="431"/>
      <c r="J38" s="431">
        <v>10</v>
      </c>
      <c r="K38" s="431"/>
      <c r="L38" s="431"/>
      <c r="M38" s="439"/>
      <c r="N38" s="439"/>
      <c r="O38" s="439"/>
      <c r="P38" s="431">
        <f t="shared" si="4"/>
        <v>10</v>
      </c>
      <c r="Q38" s="626"/>
    </row>
    <row r="39" spans="1:17" ht="32.25" customHeight="1" x14ac:dyDescent="0.15">
      <c r="A39" s="427"/>
      <c r="B39" s="427"/>
      <c r="C39" s="630"/>
      <c r="D39" s="641"/>
      <c r="E39" s="629"/>
      <c r="F39" s="440" t="s">
        <v>10</v>
      </c>
      <c r="G39" s="433" t="str">
        <f>IF(G38=0,"",ROUNDDOWN(G38*1500,0))</f>
        <v/>
      </c>
      <c r="H39" s="433"/>
      <c r="I39" s="433" t="str">
        <f>IF(I38=0,"",ROUNDDOWN(I38*1500,0))</f>
        <v/>
      </c>
      <c r="J39" s="433">
        <f>IF(J38=0,"",ROUNDDOWN(J38*1.3,0))</f>
        <v>13</v>
      </c>
      <c r="K39" s="433"/>
      <c r="L39" s="433"/>
      <c r="M39" s="441"/>
      <c r="N39" s="441"/>
      <c r="O39" s="441"/>
      <c r="P39" s="433">
        <f t="shared" si="4"/>
        <v>13</v>
      </c>
      <c r="Q39" s="626"/>
    </row>
    <row r="40" spans="1:17" ht="32.25" customHeight="1" x14ac:dyDescent="0.15">
      <c r="A40" s="427"/>
      <c r="B40" s="427"/>
      <c r="C40" s="630"/>
      <c r="D40" s="641"/>
      <c r="E40" s="628" t="s">
        <v>440</v>
      </c>
      <c r="F40" s="352" t="s">
        <v>56</v>
      </c>
      <c r="G40" s="431"/>
      <c r="H40" s="431">
        <v>10</v>
      </c>
      <c r="I40" s="431"/>
      <c r="J40" s="431"/>
      <c r="K40" s="431"/>
      <c r="L40" s="431"/>
      <c r="M40" s="431"/>
      <c r="N40" s="431"/>
      <c r="O40" s="431"/>
      <c r="P40" s="431">
        <f t="shared" si="4"/>
        <v>10</v>
      </c>
      <c r="Q40" s="626"/>
    </row>
    <row r="41" spans="1:17" ht="32.25" customHeight="1" x14ac:dyDescent="0.15">
      <c r="A41" s="427"/>
      <c r="B41" s="427"/>
      <c r="C41" s="630"/>
      <c r="D41" s="641"/>
      <c r="E41" s="629"/>
      <c r="F41" s="352" t="s">
        <v>227</v>
      </c>
      <c r="G41" s="431"/>
      <c r="H41" s="431">
        <f>IF(H40=0,"",ROUNDDOWN(H40*0.5,2))</f>
        <v>5</v>
      </c>
      <c r="I41" s="431" t="str">
        <f>IF(I40=0,"",ROUNDDOWN(I40*0.7,2))</f>
        <v/>
      </c>
      <c r="J41" s="431"/>
      <c r="K41" s="431"/>
      <c r="L41" s="431"/>
      <c r="M41" s="433" t="str">
        <f>IF(M40=0,"",ROUNDDOWN(M40*0.83,2))</f>
        <v/>
      </c>
      <c r="N41" s="433" t="str">
        <f>IF(N40=0,"",ROUNDDOWN(N40*0.83,2))</f>
        <v/>
      </c>
      <c r="O41" s="433" t="str">
        <f>IF(O40=0,"",ROUNDDOWN(O40*0.83,2))</f>
        <v/>
      </c>
      <c r="P41" s="431">
        <f t="shared" si="4"/>
        <v>5</v>
      </c>
      <c r="Q41" s="626"/>
    </row>
    <row r="42" spans="1:17" ht="32.25" customHeight="1" x14ac:dyDescent="0.15">
      <c r="A42" s="427"/>
      <c r="B42" s="427"/>
      <c r="C42" s="630"/>
      <c r="D42" s="641"/>
      <c r="E42" s="629" t="s">
        <v>444</v>
      </c>
      <c r="F42" s="352" t="s">
        <v>56</v>
      </c>
      <c r="G42" s="431"/>
      <c r="H42" s="431"/>
      <c r="I42" s="431">
        <v>4.2</v>
      </c>
      <c r="J42" s="431">
        <v>16.5</v>
      </c>
      <c r="K42" s="431"/>
      <c r="L42" s="431"/>
      <c r="M42" s="431"/>
      <c r="N42" s="431"/>
      <c r="O42" s="431"/>
      <c r="P42" s="431">
        <f t="shared" si="4"/>
        <v>20.7</v>
      </c>
      <c r="Q42" s="626"/>
    </row>
    <row r="43" spans="1:17" ht="32.25" customHeight="1" x14ac:dyDescent="0.15">
      <c r="A43" s="427"/>
      <c r="B43" s="427"/>
      <c r="C43" s="630"/>
      <c r="D43" s="641"/>
      <c r="E43" s="629"/>
      <c r="F43" s="352" t="s">
        <v>227</v>
      </c>
      <c r="G43" s="433" t="str">
        <f>IF(G42=0,"",ROUNDDOWN(G42*1200,0))</f>
        <v/>
      </c>
      <c r="H43" s="433" t="str">
        <f>IF(H42=0,"",ROUNDDOWN(H42*1200,0))</f>
        <v/>
      </c>
      <c r="I43" s="433">
        <f>IF(I42=0,"",ROUNDDOWN(I42*0.8,0))</f>
        <v>3</v>
      </c>
      <c r="J43" s="433">
        <f>IF(J42=0,"",ROUNDDOWN(J42*0.8,0))</f>
        <v>13</v>
      </c>
      <c r="K43" s="433" t="str">
        <f>IF(K42=0,"",ROUNDDOWN(K42*1200,0))</f>
        <v/>
      </c>
      <c r="L43" s="433" t="str">
        <f>IF(L42=0,"",ROUNDDOWN(L42*1200,0))</f>
        <v/>
      </c>
      <c r="M43" s="433" t="str">
        <f>IF(M42=0,"",ROUNDDOWN(M42*0.54,2))</f>
        <v/>
      </c>
      <c r="N43" s="433" t="str">
        <f>IF(N42=0,"",ROUNDDOWN(N42*0.54,2))</f>
        <v/>
      </c>
      <c r="O43" s="433" t="str">
        <f>IF(O42=0,"",ROUNDDOWN(O42*0.54,2))</f>
        <v/>
      </c>
      <c r="P43" s="433">
        <f t="shared" si="4"/>
        <v>16</v>
      </c>
      <c r="Q43" s="626"/>
    </row>
    <row r="44" spans="1:17" ht="32.25" customHeight="1" x14ac:dyDescent="0.15">
      <c r="A44" s="427"/>
      <c r="B44" s="427"/>
      <c r="C44" s="630"/>
      <c r="D44" s="641"/>
      <c r="E44" s="519"/>
      <c r="F44" s="352"/>
      <c r="G44" s="431"/>
      <c r="H44" s="431"/>
      <c r="I44" s="431"/>
      <c r="J44" s="431"/>
      <c r="K44" s="431"/>
      <c r="L44" s="431"/>
      <c r="M44" s="431"/>
      <c r="N44" s="431"/>
      <c r="O44" s="431"/>
      <c r="P44" s="431">
        <f t="shared" si="4"/>
        <v>0</v>
      </c>
      <c r="Q44" s="626"/>
    </row>
    <row r="45" spans="1:17" ht="32.25" customHeight="1" x14ac:dyDescent="0.15">
      <c r="A45" s="427"/>
      <c r="B45" s="427"/>
      <c r="C45" s="630"/>
      <c r="D45" s="641"/>
      <c r="E45" s="519"/>
      <c r="F45" s="352"/>
      <c r="G45" s="433"/>
      <c r="H45" s="433"/>
      <c r="I45" s="433"/>
      <c r="J45" s="433"/>
      <c r="K45" s="433"/>
      <c r="L45" s="433"/>
      <c r="M45" s="433"/>
      <c r="N45" s="433"/>
      <c r="O45" s="433"/>
      <c r="P45" s="433">
        <f t="shared" si="4"/>
        <v>0</v>
      </c>
      <c r="Q45" s="626"/>
    </row>
    <row r="46" spans="1:17" ht="32.25" customHeight="1" x14ac:dyDescent="0.15">
      <c r="A46" s="427"/>
      <c r="B46" s="427"/>
      <c r="C46" s="630"/>
      <c r="D46" s="641"/>
      <c r="E46" s="519"/>
      <c r="F46" s="352"/>
      <c r="G46" s="431"/>
      <c r="H46" s="431"/>
      <c r="I46" s="431"/>
      <c r="J46" s="431"/>
      <c r="K46" s="431"/>
      <c r="L46" s="431"/>
      <c r="M46" s="431"/>
      <c r="N46" s="431"/>
      <c r="O46" s="431"/>
      <c r="P46" s="431">
        <f t="shared" si="4"/>
        <v>0</v>
      </c>
      <c r="Q46" s="626"/>
    </row>
    <row r="47" spans="1:17" ht="32.25" customHeight="1" x14ac:dyDescent="0.15">
      <c r="A47" s="427"/>
      <c r="B47" s="427"/>
      <c r="C47" s="630"/>
      <c r="D47" s="642"/>
      <c r="E47" s="519"/>
      <c r="F47" s="352"/>
      <c r="G47" s="433"/>
      <c r="H47" s="442"/>
      <c r="I47" s="442"/>
      <c r="J47" s="442"/>
      <c r="K47" s="442"/>
      <c r="L47" s="442"/>
      <c r="M47" s="433"/>
      <c r="N47" s="433"/>
      <c r="O47" s="433"/>
      <c r="P47" s="433">
        <f t="shared" si="4"/>
        <v>0</v>
      </c>
      <c r="Q47" s="626"/>
    </row>
    <row r="48" spans="1:17" ht="44.25" customHeight="1" x14ac:dyDescent="0.15">
      <c r="A48" s="427"/>
      <c r="B48" s="427"/>
      <c r="C48" s="630"/>
      <c r="D48" s="633" t="s">
        <v>57</v>
      </c>
      <c r="E48" s="634"/>
      <c r="F48" s="434" t="s">
        <v>56</v>
      </c>
      <c r="G48" s="431">
        <f t="shared" ref="G48:L48" ca="1" si="5">SUMIF($F$32:$P$47,$F$48,G$32:G$47)</f>
        <v>49.14</v>
      </c>
      <c r="H48" s="431">
        <f t="shared" ca="1" si="5"/>
        <v>48.32</v>
      </c>
      <c r="I48" s="431">
        <f t="shared" ca="1" si="5"/>
        <v>48.3</v>
      </c>
      <c r="J48" s="431">
        <f t="shared" ca="1" si="5"/>
        <v>38.980000000000004</v>
      </c>
      <c r="K48" s="431">
        <f t="shared" ca="1" si="5"/>
        <v>37.17</v>
      </c>
      <c r="L48" s="431">
        <f t="shared" ca="1" si="5"/>
        <v>10.53</v>
      </c>
      <c r="M48" s="431"/>
      <c r="N48" s="431"/>
      <c r="O48" s="431"/>
      <c r="P48" s="431">
        <f ca="1">SUMIF($F$32:$P$47,$F$48,P$32:P$47)</f>
        <v>232.44</v>
      </c>
      <c r="Q48" s="626"/>
    </row>
    <row r="49" spans="1:17" ht="15.75" customHeight="1" x14ac:dyDescent="0.15">
      <c r="A49" s="427"/>
      <c r="B49" s="427"/>
      <c r="C49" s="630"/>
      <c r="D49" s="632"/>
      <c r="E49" s="632"/>
      <c r="F49" s="632"/>
      <c r="G49" s="632"/>
      <c r="H49" s="632"/>
      <c r="I49" s="632"/>
      <c r="J49" s="632"/>
      <c r="K49" s="632"/>
      <c r="L49" s="632"/>
      <c r="M49" s="632"/>
      <c r="N49" s="632"/>
      <c r="O49" s="632"/>
      <c r="P49" s="632"/>
      <c r="Q49" s="626"/>
    </row>
    <row r="50" spans="1:17" ht="15.75" customHeight="1" thickBot="1" x14ac:dyDescent="0.2">
      <c r="A50" s="435"/>
      <c r="B50" s="435"/>
      <c r="C50" s="631"/>
      <c r="D50" s="631"/>
      <c r="E50" s="631"/>
      <c r="F50" s="631"/>
      <c r="G50" s="631"/>
      <c r="H50" s="631"/>
      <c r="I50" s="631"/>
      <c r="J50" s="631"/>
      <c r="K50" s="631"/>
      <c r="L50" s="631"/>
      <c r="M50" s="631"/>
      <c r="N50" s="631"/>
      <c r="O50" s="631"/>
      <c r="P50" s="631"/>
      <c r="Q50" s="627"/>
    </row>
    <row r="51" spans="1:17" ht="15.75" customHeight="1" x14ac:dyDescent="0.15"/>
    <row r="52" spans="1:17" ht="15.75" customHeight="1" x14ac:dyDescent="0.15"/>
    <row r="53" spans="1:17" ht="15.75" customHeight="1" x14ac:dyDescent="0.15"/>
    <row r="54" spans="1:17" ht="15.75" customHeight="1" x14ac:dyDescent="0.15"/>
    <row r="55" spans="1:17" ht="15.75" customHeight="1" x14ac:dyDescent="0.15"/>
    <row r="56" spans="1:17" ht="15.75" customHeight="1" x14ac:dyDescent="0.15"/>
    <row r="57" spans="1:17" ht="15.75" customHeight="1" x14ac:dyDescent="0.15"/>
    <row r="58" spans="1:17" ht="15.75" customHeight="1" x14ac:dyDescent="0.15"/>
    <row r="59" spans="1:17" ht="15.75" customHeight="1" x14ac:dyDescent="0.15"/>
    <row r="60" spans="1:17" ht="15.75" customHeight="1" x14ac:dyDescent="0.15"/>
    <row r="61" spans="1:17" ht="15.75" customHeight="1" x14ac:dyDescent="0.15"/>
    <row r="62" spans="1:17" ht="15.75" customHeight="1" x14ac:dyDescent="0.15"/>
    <row r="63" spans="1:17" ht="15.75" customHeight="1" x14ac:dyDescent="0.15"/>
    <row r="64" spans="1:17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6.5" customHeight="1" x14ac:dyDescent="0.15"/>
    <row r="90" ht="16.5" customHeight="1" x14ac:dyDescent="0.15"/>
  </sheetData>
  <mergeCells count="39">
    <mergeCell ref="D6:F6"/>
    <mergeCell ref="E19:E20"/>
    <mergeCell ref="A30:A31"/>
    <mergeCell ref="D30:P30"/>
    <mergeCell ref="C26:Q26"/>
    <mergeCell ref="Q27:Q50"/>
    <mergeCell ref="E40:E41"/>
    <mergeCell ref="E46:E47"/>
    <mergeCell ref="D48:E48"/>
    <mergeCell ref="D49:P50"/>
    <mergeCell ref="D31:F31"/>
    <mergeCell ref="E32:E33"/>
    <mergeCell ref="C27:C50"/>
    <mergeCell ref="D27:P29"/>
    <mergeCell ref="D32:D35"/>
    <mergeCell ref="D36:D47"/>
    <mergeCell ref="E7:E8"/>
    <mergeCell ref="E9:E10"/>
    <mergeCell ref="E38:E39"/>
    <mergeCell ref="E44:E45"/>
    <mergeCell ref="E42:E43"/>
    <mergeCell ref="E34:E35"/>
    <mergeCell ref="E36:E37"/>
    <mergeCell ref="B3:B4"/>
    <mergeCell ref="B28:B29"/>
    <mergeCell ref="C1:Q1"/>
    <mergeCell ref="Q2:Q25"/>
    <mergeCell ref="E11:E12"/>
    <mergeCell ref="E13:E14"/>
    <mergeCell ref="E21:E22"/>
    <mergeCell ref="C2:C25"/>
    <mergeCell ref="D24:P25"/>
    <mergeCell ref="D23:E23"/>
    <mergeCell ref="D2:P4"/>
    <mergeCell ref="D5:P5"/>
    <mergeCell ref="D7:D12"/>
    <mergeCell ref="D13:D22"/>
    <mergeCell ref="E15:E16"/>
    <mergeCell ref="E17:E18"/>
  </mergeCells>
  <phoneticPr fontId="11"/>
  <printOptions horizontalCentered="1" verticalCentered="1"/>
  <pageMargins left="0.59055118110236227" right="0.47244094488188981" top="0.59055118110236227" bottom="0.78740157480314965" header="0.51181102362204722" footer="0.51181102362204722"/>
  <pageSetup paperSize="9" scale="70" firstPageNumber="67" orientation="landscape" useFirstPageNumber="1" r:id="rId1"/>
  <headerFooter alignWithMargins="0"/>
  <rowBreaks count="1" manualBreakCount="1">
    <brk id="25" max="1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R35"/>
  <sheetViews>
    <sheetView view="pageBreakPreview" zoomScale="85" zoomScaleNormal="85" zoomScaleSheetLayoutView="85" workbookViewId="0">
      <selection activeCell="A8" sqref="A8"/>
    </sheetView>
  </sheetViews>
  <sheetFormatPr defaultRowHeight="21" customHeight="1" x14ac:dyDescent="0.15"/>
  <cols>
    <col min="1" max="1" width="11.625" style="40" customWidth="1"/>
    <col min="2" max="2" width="13.625" style="40" customWidth="1"/>
    <col min="3" max="8" width="3.625" style="40" customWidth="1"/>
    <col min="9" max="16" width="12.375" style="40" customWidth="1"/>
    <col min="17" max="17" width="36.625" style="40" customWidth="1"/>
    <col min="18" max="18" width="3.625" style="40" customWidth="1"/>
    <col min="19" max="16384" width="9" style="40"/>
  </cols>
  <sheetData>
    <row r="1" spans="1:18" ht="27" customHeight="1" thickBot="1" x14ac:dyDescent="0.2">
      <c r="A1" s="445" t="s">
        <v>467</v>
      </c>
      <c r="B1" s="337" t="s">
        <v>97</v>
      </c>
      <c r="C1" s="623" t="s">
        <v>53</v>
      </c>
      <c r="D1" s="624"/>
      <c r="E1" s="624"/>
      <c r="F1" s="624"/>
      <c r="G1" s="624"/>
      <c r="H1" s="624"/>
      <c r="I1" s="624"/>
      <c r="J1" s="624"/>
      <c r="K1" s="624"/>
      <c r="L1" s="624"/>
      <c r="M1" s="624"/>
      <c r="N1" s="624"/>
      <c r="O1" s="624"/>
      <c r="P1" s="624"/>
      <c r="Q1" s="624"/>
      <c r="R1" s="625"/>
    </row>
    <row r="2" spans="1:18" ht="21" customHeight="1" x14ac:dyDescent="0.15">
      <c r="A2" s="340"/>
      <c r="B2" s="340"/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  <c r="N2" s="374"/>
      <c r="O2" s="374"/>
      <c r="P2" s="374"/>
      <c r="Q2" s="374"/>
      <c r="R2" s="375"/>
    </row>
    <row r="3" spans="1:18" ht="21" customHeight="1" x14ac:dyDescent="0.15">
      <c r="A3" s="54" t="str">
        <f>'現況､事業計画(1)～(3)'!A3</f>
        <v>○○市町村</v>
      </c>
      <c r="B3" s="376" t="str">
        <f>'現況､事業計画(1)～(3)'!B3</f>
        <v>○○</v>
      </c>
      <c r="C3" s="377"/>
      <c r="D3" s="443" t="s">
        <v>313</v>
      </c>
      <c r="E3" s="378"/>
      <c r="F3" s="378"/>
      <c r="G3" s="378"/>
      <c r="H3" s="377"/>
      <c r="I3" s="379"/>
      <c r="J3" s="379"/>
      <c r="K3" s="643" t="s">
        <v>470</v>
      </c>
      <c r="L3" s="643"/>
      <c r="M3" s="377"/>
      <c r="N3" s="377"/>
      <c r="O3" s="377"/>
      <c r="P3" s="377"/>
      <c r="Q3" s="377"/>
      <c r="R3" s="381"/>
    </row>
    <row r="4" spans="1:18" ht="21" customHeight="1" x14ac:dyDescent="0.15">
      <c r="A4" s="58" t="str">
        <f>'現況､事業計画(1)～(3)'!A4</f>
        <v>○○地区</v>
      </c>
      <c r="B4" s="376" t="str">
        <f>'現況､事業計画(1)～(3)'!B5</f>
        <v>（型）</v>
      </c>
      <c r="C4" s="377"/>
      <c r="D4" s="379"/>
      <c r="E4" s="377"/>
      <c r="F4" s="377"/>
      <c r="G4" s="377"/>
      <c r="H4" s="377"/>
      <c r="I4" s="379"/>
      <c r="J4" s="379"/>
      <c r="K4" s="379"/>
      <c r="L4" s="379"/>
      <c r="M4" s="379"/>
      <c r="N4" s="379"/>
      <c r="O4" s="379"/>
      <c r="P4" s="379"/>
      <c r="Q4" s="379"/>
      <c r="R4" s="382"/>
    </row>
    <row r="5" spans="1:18" ht="21" customHeight="1" x14ac:dyDescent="0.15">
      <c r="A5" s="468" t="str">
        <f>'現況､事業計画(1)～(3)'!A5</f>
        <v>○○生産組合</v>
      </c>
      <c r="B5" s="383"/>
      <c r="C5" s="377"/>
      <c r="D5" s="39"/>
      <c r="E5" s="39"/>
      <c r="F5" s="39"/>
      <c r="G5" s="39"/>
      <c r="H5" s="39"/>
      <c r="I5" s="39"/>
      <c r="J5" s="39"/>
      <c r="K5" s="39"/>
      <c r="L5" s="39"/>
      <c r="M5" s="379"/>
      <c r="N5" s="379"/>
      <c r="O5" s="379"/>
      <c r="P5" s="379"/>
      <c r="Q5" s="379"/>
      <c r="R5" s="382"/>
    </row>
    <row r="6" spans="1:18" ht="21" customHeight="1" x14ac:dyDescent="0.15">
      <c r="A6" s="468"/>
      <c r="B6" s="383"/>
      <c r="C6" s="377"/>
      <c r="D6" s="378"/>
      <c r="E6" s="378"/>
      <c r="F6" s="378"/>
      <c r="G6" s="378"/>
      <c r="H6" s="377"/>
      <c r="I6" s="379"/>
      <c r="J6" s="379"/>
      <c r="K6" s="380"/>
      <c r="L6" s="380"/>
      <c r="M6" s="379"/>
      <c r="N6" s="379"/>
      <c r="O6" s="379"/>
      <c r="P6" s="379"/>
      <c r="Q6" s="379"/>
      <c r="R6" s="382"/>
    </row>
    <row r="7" spans="1:18" ht="21" customHeight="1" x14ac:dyDescent="0.15">
      <c r="A7" s="384"/>
      <c r="B7" s="385"/>
      <c r="C7" s="377"/>
      <c r="D7" s="386"/>
      <c r="E7" s="379"/>
      <c r="F7" s="379"/>
      <c r="G7" s="379"/>
      <c r="H7" s="379"/>
      <c r="J7" s="387"/>
      <c r="K7" s="387"/>
      <c r="L7" s="377"/>
      <c r="M7" s="377"/>
      <c r="N7" s="377"/>
      <c r="O7" s="377"/>
      <c r="P7" s="377"/>
      <c r="Q7" s="377"/>
      <c r="R7" s="381"/>
    </row>
    <row r="8" spans="1:18" ht="21" customHeight="1" x14ac:dyDescent="0.15">
      <c r="A8" s="384"/>
      <c r="B8" s="342"/>
      <c r="C8" s="377"/>
      <c r="D8" s="444" t="s">
        <v>314</v>
      </c>
      <c r="E8" s="388"/>
      <c r="F8" s="388"/>
      <c r="G8" s="388"/>
      <c r="I8" s="387" t="s">
        <v>289</v>
      </c>
      <c r="K8" s="643" t="s">
        <v>290</v>
      </c>
      <c r="L8" s="643"/>
      <c r="M8" s="656">
        <f>O12+O13+O15+O16+O18+O19</f>
        <v>13618.8</v>
      </c>
      <c r="N8" s="656"/>
      <c r="O8" s="390"/>
      <c r="P8" s="377"/>
      <c r="Q8" s="391"/>
      <c r="R8" s="381"/>
    </row>
    <row r="9" spans="1:18" ht="21" customHeight="1" thickBot="1" x14ac:dyDescent="0.2">
      <c r="A9" s="384"/>
      <c r="B9" s="342"/>
      <c r="C9" s="377"/>
      <c r="D9" s="388"/>
      <c r="E9" s="388"/>
      <c r="F9" s="388"/>
      <c r="G9" s="388"/>
      <c r="H9" s="387"/>
      <c r="I9" s="387"/>
      <c r="J9" s="387"/>
      <c r="K9" s="380"/>
      <c r="L9" s="380"/>
      <c r="M9" s="389"/>
      <c r="N9" s="389"/>
      <c r="O9" s="390"/>
      <c r="P9" s="377"/>
      <c r="Q9" s="391"/>
      <c r="R9" s="381"/>
    </row>
    <row r="10" spans="1:18" ht="21" customHeight="1" x14ac:dyDescent="0.15">
      <c r="A10" s="384"/>
      <c r="B10" s="384"/>
      <c r="C10" s="377"/>
      <c r="D10" s="377"/>
      <c r="E10" s="377"/>
      <c r="F10" s="377"/>
      <c r="G10" s="377"/>
      <c r="H10" s="377"/>
      <c r="I10" s="663" t="s">
        <v>291</v>
      </c>
      <c r="J10" s="665" t="s">
        <v>292</v>
      </c>
      <c r="K10" s="657" t="s">
        <v>293</v>
      </c>
      <c r="L10" s="657"/>
      <c r="M10" s="657"/>
      <c r="N10" s="657"/>
      <c r="O10" s="667" t="s">
        <v>294</v>
      </c>
      <c r="P10" s="657" t="s">
        <v>295</v>
      </c>
      <c r="Q10" s="659" t="s">
        <v>296</v>
      </c>
      <c r="R10" s="393"/>
    </row>
    <row r="11" spans="1:18" ht="21" customHeight="1" thickBot="1" x14ac:dyDescent="0.2">
      <c r="A11" s="384"/>
      <c r="B11" s="384"/>
      <c r="C11" s="377"/>
      <c r="D11" s="394"/>
      <c r="E11" s="394"/>
      <c r="F11" s="377"/>
      <c r="G11" s="377"/>
      <c r="H11" s="377"/>
      <c r="I11" s="664"/>
      <c r="J11" s="666"/>
      <c r="K11" s="395" t="s">
        <v>297</v>
      </c>
      <c r="L11" s="396" t="s">
        <v>298</v>
      </c>
      <c r="M11" s="397" t="s">
        <v>299</v>
      </c>
      <c r="N11" s="395" t="s">
        <v>251</v>
      </c>
      <c r="O11" s="668"/>
      <c r="P11" s="658"/>
      <c r="Q11" s="660"/>
      <c r="R11" s="393"/>
    </row>
    <row r="12" spans="1:18" ht="21" customHeight="1" x14ac:dyDescent="0.15">
      <c r="A12" s="384"/>
      <c r="B12" s="384"/>
      <c r="C12" s="377"/>
      <c r="D12" s="377"/>
      <c r="E12" s="377"/>
      <c r="F12" s="377"/>
      <c r="G12" s="377"/>
      <c r="H12" s="377"/>
      <c r="I12" s="12" t="s">
        <v>427</v>
      </c>
      <c r="J12" s="661" t="s">
        <v>428</v>
      </c>
      <c r="K12" s="13"/>
      <c r="L12" s="14"/>
      <c r="M12" s="15"/>
      <c r="N12" s="16">
        <v>1941</v>
      </c>
      <c r="O12" s="17">
        <v>1836</v>
      </c>
      <c r="P12" s="392"/>
      <c r="Q12" s="398" t="s">
        <v>300</v>
      </c>
      <c r="R12" s="393"/>
    </row>
    <row r="13" spans="1:18" ht="21" customHeight="1" x14ac:dyDescent="0.15">
      <c r="A13" s="384"/>
      <c r="B13" s="384"/>
      <c r="C13" s="377"/>
      <c r="D13" s="399"/>
      <c r="E13" s="399"/>
      <c r="F13" s="399"/>
      <c r="G13" s="399"/>
      <c r="H13" s="377"/>
      <c r="I13" s="646" t="s">
        <v>429</v>
      </c>
      <c r="J13" s="652"/>
      <c r="K13" s="18"/>
      <c r="L13" s="19"/>
      <c r="M13" s="20"/>
      <c r="N13" s="21">
        <v>193</v>
      </c>
      <c r="O13" s="648">
        <v>2688</v>
      </c>
      <c r="P13" s="41"/>
      <c r="Q13" s="400" t="s">
        <v>300</v>
      </c>
      <c r="R13" s="393"/>
    </row>
    <row r="14" spans="1:18" ht="21" customHeight="1" x14ac:dyDescent="0.15">
      <c r="A14" s="384"/>
      <c r="B14" s="384"/>
      <c r="C14" s="377"/>
      <c r="D14" s="399"/>
      <c r="E14" s="399"/>
      <c r="F14" s="399"/>
      <c r="G14" s="399"/>
      <c r="H14" s="377"/>
      <c r="I14" s="647"/>
      <c r="J14" s="662"/>
      <c r="K14" s="18"/>
      <c r="L14" s="19"/>
      <c r="M14" s="22"/>
      <c r="N14" s="23">
        <v>2747</v>
      </c>
      <c r="O14" s="649"/>
      <c r="P14" s="41"/>
      <c r="Q14" s="400" t="s">
        <v>300</v>
      </c>
      <c r="R14" s="393"/>
    </row>
    <row r="15" spans="1:18" ht="21" customHeight="1" x14ac:dyDescent="0.15">
      <c r="A15" s="384"/>
      <c r="B15" s="384"/>
      <c r="C15" s="377"/>
      <c r="D15" s="399"/>
      <c r="E15" s="399"/>
      <c r="F15" s="399"/>
      <c r="G15" s="399"/>
      <c r="H15" s="377"/>
      <c r="I15" s="24" t="s">
        <v>430</v>
      </c>
      <c r="J15" s="669" t="s">
        <v>431</v>
      </c>
      <c r="K15" s="18"/>
      <c r="L15" s="19"/>
      <c r="M15" s="22"/>
      <c r="N15" s="23">
        <v>1853</v>
      </c>
      <c r="O15" s="25">
        <v>1612.8</v>
      </c>
      <c r="P15" s="18"/>
      <c r="Q15" s="400" t="s">
        <v>300</v>
      </c>
      <c r="R15" s="393"/>
    </row>
    <row r="16" spans="1:18" ht="21" customHeight="1" x14ac:dyDescent="0.15">
      <c r="A16" s="384"/>
      <c r="B16" s="384"/>
      <c r="C16" s="377"/>
      <c r="D16" s="399"/>
      <c r="E16" s="399"/>
      <c r="F16" s="399"/>
      <c r="G16" s="399"/>
      <c r="H16" s="377"/>
      <c r="I16" s="646" t="s">
        <v>432</v>
      </c>
      <c r="J16" s="652"/>
      <c r="K16" s="18"/>
      <c r="L16" s="19"/>
      <c r="M16" s="22"/>
      <c r="N16" s="23">
        <v>735</v>
      </c>
      <c r="O16" s="648">
        <v>2877</v>
      </c>
      <c r="P16" s="18"/>
      <c r="Q16" s="400" t="s">
        <v>300</v>
      </c>
      <c r="R16" s="393"/>
    </row>
    <row r="17" spans="1:18" ht="21" customHeight="1" x14ac:dyDescent="0.15">
      <c r="A17" s="384"/>
      <c r="B17" s="384"/>
      <c r="C17" s="377"/>
      <c r="D17" s="399"/>
      <c r="E17" s="399"/>
      <c r="F17" s="399"/>
      <c r="G17" s="399"/>
      <c r="H17" s="377"/>
      <c r="I17" s="647"/>
      <c r="J17" s="662"/>
      <c r="K17" s="18"/>
      <c r="L17" s="19"/>
      <c r="M17" s="22"/>
      <c r="N17" s="23">
        <v>2351</v>
      </c>
      <c r="O17" s="649"/>
      <c r="P17" s="18"/>
      <c r="Q17" s="400" t="s">
        <v>300</v>
      </c>
      <c r="R17" s="393"/>
    </row>
    <row r="18" spans="1:18" ht="21" customHeight="1" x14ac:dyDescent="0.15">
      <c r="A18" s="384"/>
      <c r="B18" s="384"/>
      <c r="C18" s="377"/>
      <c r="D18" s="399"/>
      <c r="E18" s="399"/>
      <c r="F18" s="399"/>
      <c r="G18" s="399"/>
      <c r="H18" s="377"/>
      <c r="I18" s="401" t="s">
        <v>433</v>
      </c>
      <c r="J18" s="402" t="s">
        <v>434</v>
      </c>
      <c r="K18" s="18"/>
      <c r="L18" s="26"/>
      <c r="M18" s="22"/>
      <c r="N18" s="23">
        <v>3312</v>
      </c>
      <c r="O18" s="27">
        <v>2781</v>
      </c>
      <c r="P18" s="18"/>
      <c r="Q18" s="400" t="s">
        <v>300</v>
      </c>
      <c r="R18" s="393"/>
    </row>
    <row r="19" spans="1:18" ht="21" customHeight="1" x14ac:dyDescent="0.15">
      <c r="A19" s="384"/>
      <c r="B19" s="384"/>
      <c r="C19" s="377"/>
      <c r="D19" s="399"/>
      <c r="E19" s="399"/>
      <c r="F19" s="399"/>
      <c r="G19" s="399"/>
      <c r="H19" s="377"/>
      <c r="I19" s="650" t="s">
        <v>435</v>
      </c>
      <c r="J19" s="652" t="s">
        <v>436</v>
      </c>
      <c r="K19" s="403"/>
      <c r="L19" s="404"/>
      <c r="M19" s="20"/>
      <c r="N19" s="21">
        <v>1082</v>
      </c>
      <c r="O19" s="654">
        <v>1824</v>
      </c>
      <c r="P19" s="18"/>
      <c r="Q19" s="400" t="s">
        <v>471</v>
      </c>
      <c r="R19" s="393"/>
    </row>
    <row r="20" spans="1:18" ht="21" customHeight="1" x14ac:dyDescent="0.15">
      <c r="A20" s="384"/>
      <c r="B20" s="384"/>
      <c r="C20" s="377"/>
      <c r="D20" s="399"/>
      <c r="E20" s="399"/>
      <c r="F20" s="399"/>
      <c r="G20" s="399"/>
      <c r="H20" s="377"/>
      <c r="I20" s="650"/>
      <c r="J20" s="652"/>
      <c r="K20" s="18"/>
      <c r="L20" s="26"/>
      <c r="M20" s="22"/>
      <c r="N20" s="23">
        <v>643</v>
      </c>
      <c r="O20" s="654"/>
      <c r="P20" s="18"/>
      <c r="Q20" s="400" t="s">
        <v>471</v>
      </c>
      <c r="R20" s="393"/>
    </row>
    <row r="21" spans="1:18" ht="21" customHeight="1" x14ac:dyDescent="0.15">
      <c r="A21" s="384"/>
      <c r="B21" s="384"/>
      <c r="C21" s="377"/>
      <c r="D21" s="399"/>
      <c r="E21" s="399"/>
      <c r="F21" s="399"/>
      <c r="G21" s="399"/>
      <c r="H21" s="377"/>
      <c r="I21" s="650"/>
      <c r="J21" s="652"/>
      <c r="K21" s="18"/>
      <c r="L21" s="26"/>
      <c r="M21" s="22"/>
      <c r="N21" s="23">
        <v>680</v>
      </c>
      <c r="O21" s="654"/>
      <c r="P21" s="405"/>
      <c r="Q21" s="400" t="s">
        <v>471</v>
      </c>
      <c r="R21" s="393"/>
    </row>
    <row r="22" spans="1:18" ht="21" customHeight="1" thickBot="1" x14ac:dyDescent="0.2">
      <c r="A22" s="384"/>
      <c r="B22" s="384"/>
      <c r="C22" s="377"/>
      <c r="D22" s="399"/>
      <c r="E22" s="399"/>
      <c r="F22" s="399"/>
      <c r="G22" s="399"/>
      <c r="H22" s="377"/>
      <c r="I22" s="651"/>
      <c r="J22" s="653"/>
      <c r="K22" s="28"/>
      <c r="L22" s="29"/>
      <c r="M22" s="30"/>
      <c r="N22" s="31">
        <v>1588</v>
      </c>
      <c r="O22" s="655"/>
      <c r="P22" s="406"/>
      <c r="Q22" s="407" t="s">
        <v>471</v>
      </c>
      <c r="R22" s="393"/>
    </row>
    <row r="23" spans="1:18" ht="21" customHeight="1" x14ac:dyDescent="0.15">
      <c r="A23" s="384"/>
      <c r="B23" s="384"/>
      <c r="C23" s="377"/>
      <c r="D23" s="399"/>
      <c r="E23" s="399"/>
      <c r="F23" s="399"/>
      <c r="G23" s="399"/>
      <c r="H23" s="377"/>
      <c r="I23" s="32"/>
      <c r="J23" s="33"/>
      <c r="K23" s="34"/>
      <c r="L23" s="35"/>
      <c r="M23" s="36"/>
      <c r="N23" s="37"/>
      <c r="O23" s="38"/>
      <c r="P23" s="408"/>
      <c r="Q23" s="409"/>
      <c r="R23" s="393"/>
    </row>
    <row r="24" spans="1:18" ht="21" customHeight="1" x14ac:dyDescent="0.15">
      <c r="A24" s="384"/>
      <c r="B24" s="384"/>
      <c r="C24" s="377"/>
      <c r="D24" s="399"/>
      <c r="E24" s="399"/>
      <c r="F24" s="399"/>
      <c r="G24" s="399"/>
      <c r="H24" s="377"/>
      <c r="I24" s="32"/>
      <c r="J24" s="33"/>
      <c r="K24" s="34"/>
      <c r="L24" s="35"/>
      <c r="M24" s="36"/>
      <c r="N24" s="37"/>
      <c r="O24" s="38"/>
      <c r="P24" s="408"/>
      <c r="Q24" s="409"/>
      <c r="R24" s="393"/>
    </row>
    <row r="25" spans="1:18" ht="21" customHeight="1" x14ac:dyDescent="0.15">
      <c r="A25" s="384"/>
      <c r="B25" s="384"/>
      <c r="C25" s="377"/>
      <c r="D25" s="399"/>
      <c r="E25" s="399"/>
      <c r="F25" s="399"/>
      <c r="G25" s="399"/>
      <c r="H25" s="645" t="s">
        <v>301</v>
      </c>
      <c r="I25" s="645"/>
      <c r="J25" s="645"/>
      <c r="K25" s="643" t="s">
        <v>302</v>
      </c>
      <c r="L25" s="643"/>
      <c r="M25" s="644" t="s">
        <v>472</v>
      </c>
      <c r="N25" s="644"/>
      <c r="O25" s="644"/>
      <c r="P25" s="644"/>
      <c r="Q25" s="644"/>
      <c r="R25" s="410"/>
    </row>
    <row r="26" spans="1:18" ht="21" customHeight="1" x14ac:dyDescent="0.15">
      <c r="A26" s="384"/>
      <c r="B26" s="384"/>
      <c r="C26" s="377"/>
      <c r="D26" s="411"/>
      <c r="E26" s="411"/>
      <c r="F26" s="411"/>
      <c r="G26" s="411"/>
      <c r="H26" s="377"/>
      <c r="I26" s="411"/>
      <c r="J26" s="411"/>
      <c r="K26" s="377"/>
      <c r="L26" s="377"/>
      <c r="M26" s="377"/>
      <c r="N26" s="32"/>
      <c r="O26" s="412"/>
      <c r="P26" s="412"/>
      <c r="Q26" s="413"/>
      <c r="R26" s="410"/>
    </row>
    <row r="27" spans="1:18" ht="21" customHeight="1" x14ac:dyDescent="0.15">
      <c r="A27" s="384"/>
      <c r="B27" s="384"/>
      <c r="C27" s="377"/>
      <c r="D27" s="379"/>
      <c r="E27" s="379"/>
      <c r="F27" s="379"/>
      <c r="G27" s="379"/>
      <c r="H27" s="386"/>
      <c r="I27" s="379"/>
      <c r="J27" s="379"/>
      <c r="K27" s="379"/>
      <c r="L27" s="643"/>
      <c r="M27" s="643"/>
      <c r="N27" s="379"/>
      <c r="O27" s="379"/>
      <c r="P27" s="379"/>
      <c r="Q27" s="379"/>
      <c r="R27" s="382"/>
    </row>
    <row r="28" spans="1:18" ht="21" customHeight="1" x14ac:dyDescent="0.15">
      <c r="A28" s="384"/>
      <c r="B28" s="384"/>
      <c r="C28" s="377"/>
      <c r="D28" s="379"/>
      <c r="E28" s="379"/>
      <c r="F28" s="379"/>
      <c r="G28" s="379"/>
      <c r="H28" s="386" t="s">
        <v>303</v>
      </c>
      <c r="I28" s="379"/>
      <c r="J28" s="379"/>
      <c r="K28" s="643" t="s">
        <v>304</v>
      </c>
      <c r="L28" s="643"/>
      <c r="M28" s="379"/>
      <c r="N28" s="379"/>
      <c r="O28" s="379"/>
      <c r="P28" s="379"/>
      <c r="Q28" s="379"/>
      <c r="R28" s="382"/>
    </row>
    <row r="29" spans="1:18" ht="21" customHeight="1" x14ac:dyDescent="0.15">
      <c r="A29" s="384"/>
      <c r="B29" s="384"/>
      <c r="C29" s="377"/>
      <c r="D29" s="379"/>
      <c r="E29" s="379"/>
      <c r="F29" s="379"/>
      <c r="G29" s="379"/>
      <c r="H29" s="386"/>
      <c r="I29" s="379"/>
      <c r="J29" s="379"/>
      <c r="K29" s="379"/>
      <c r="L29" s="379"/>
      <c r="M29" s="379"/>
      <c r="N29" s="379"/>
      <c r="O29" s="379"/>
      <c r="P29" s="379"/>
      <c r="Q29" s="379"/>
      <c r="R29" s="382"/>
    </row>
    <row r="30" spans="1:18" ht="21" customHeight="1" x14ac:dyDescent="0.15">
      <c r="A30" s="384"/>
      <c r="B30" s="384"/>
      <c r="C30" s="377"/>
      <c r="D30" s="379"/>
      <c r="E30" s="379"/>
      <c r="F30" s="379"/>
      <c r="G30" s="379"/>
      <c r="H30" s="386"/>
      <c r="I30" s="379"/>
      <c r="J30" s="379"/>
      <c r="K30" s="379"/>
      <c r="L30" s="379"/>
      <c r="M30" s="379"/>
      <c r="N30" s="379"/>
      <c r="O30" s="379"/>
      <c r="P30" s="379"/>
      <c r="Q30" s="379"/>
      <c r="R30" s="382"/>
    </row>
    <row r="31" spans="1:18" ht="21" customHeight="1" x14ac:dyDescent="0.15">
      <c r="A31" s="384"/>
      <c r="B31" s="384"/>
      <c r="C31" s="377"/>
      <c r="D31" s="84" t="s">
        <v>315</v>
      </c>
      <c r="E31" s="414"/>
      <c r="F31" s="414"/>
      <c r="G31" s="415"/>
      <c r="H31" s="386" t="s">
        <v>305</v>
      </c>
      <c r="I31" s="379"/>
      <c r="J31" s="379"/>
      <c r="K31" s="643" t="s">
        <v>302</v>
      </c>
      <c r="L31" s="643"/>
      <c r="M31" s="644" t="s">
        <v>472</v>
      </c>
      <c r="N31" s="644"/>
      <c r="O31" s="644"/>
      <c r="P31" s="644"/>
      <c r="Q31" s="644"/>
      <c r="R31" s="382"/>
    </row>
    <row r="32" spans="1:18" ht="21" customHeight="1" x14ac:dyDescent="0.15">
      <c r="A32" s="384"/>
      <c r="B32" s="384"/>
      <c r="C32" s="377"/>
      <c r="D32" s="386"/>
      <c r="E32" s="386"/>
      <c r="F32" s="377"/>
      <c r="G32" s="377"/>
      <c r="H32" s="377"/>
      <c r="I32" s="377"/>
      <c r="J32" s="377"/>
      <c r="K32" s="377"/>
      <c r="L32" s="377"/>
      <c r="M32" s="377"/>
      <c r="N32" s="377"/>
      <c r="O32" s="377"/>
      <c r="P32" s="377"/>
      <c r="Q32" s="377"/>
      <c r="R32" s="381"/>
    </row>
    <row r="33" spans="1:18" ht="21" customHeight="1" x14ac:dyDescent="0.15">
      <c r="A33" s="384"/>
      <c r="B33" s="384"/>
      <c r="C33" s="377"/>
      <c r="D33" s="377"/>
      <c r="E33" s="377"/>
      <c r="F33" s="377"/>
      <c r="G33" s="377"/>
      <c r="H33" s="33" t="s">
        <v>473</v>
      </c>
      <c r="I33" s="377"/>
      <c r="J33" s="377"/>
      <c r="K33" s="643" t="s">
        <v>302</v>
      </c>
      <c r="L33" s="643"/>
      <c r="M33" s="377"/>
      <c r="N33" s="377"/>
      <c r="O33" s="377"/>
      <c r="P33" s="377"/>
      <c r="Q33" s="377"/>
      <c r="R33" s="381"/>
    </row>
    <row r="34" spans="1:18" ht="21" customHeight="1" x14ac:dyDescent="0.15">
      <c r="A34" s="384"/>
      <c r="B34" s="384"/>
      <c r="C34" s="377"/>
      <c r="D34" s="377"/>
      <c r="E34" s="377"/>
      <c r="F34" s="377"/>
      <c r="G34" s="377"/>
      <c r="H34" s="377"/>
      <c r="I34" s="377"/>
      <c r="J34" s="377"/>
      <c r="K34" s="377"/>
      <c r="L34" s="377"/>
      <c r="M34" s="377"/>
      <c r="N34" s="416"/>
      <c r="O34" s="416"/>
      <c r="P34" s="417"/>
      <c r="Q34" s="417"/>
      <c r="R34" s="418"/>
    </row>
    <row r="35" spans="1:18" ht="21" customHeight="1" thickBot="1" x14ac:dyDescent="0.2">
      <c r="A35" s="419"/>
      <c r="B35" s="419"/>
      <c r="C35" s="420"/>
      <c r="D35" s="420"/>
      <c r="E35" s="420"/>
      <c r="F35" s="420"/>
      <c r="G35" s="420"/>
      <c r="H35" s="421"/>
      <c r="I35" s="420"/>
      <c r="J35" s="420"/>
      <c r="K35" s="420"/>
      <c r="L35" s="420"/>
      <c r="M35" s="420"/>
      <c r="N35" s="422"/>
      <c r="O35" s="422"/>
      <c r="P35" s="423"/>
      <c r="Q35" s="423"/>
      <c r="R35" s="424"/>
    </row>
  </sheetData>
  <mergeCells count="28">
    <mergeCell ref="K33:L33"/>
    <mergeCell ref="A5:A6"/>
    <mergeCell ref="K8:L8"/>
    <mergeCell ref="M8:N8"/>
    <mergeCell ref="C1:R1"/>
    <mergeCell ref="K3:L3"/>
    <mergeCell ref="P10:P11"/>
    <mergeCell ref="Q10:Q11"/>
    <mergeCell ref="J12:J14"/>
    <mergeCell ref="I13:I14"/>
    <mergeCell ref="O13:O14"/>
    <mergeCell ref="I10:I11"/>
    <mergeCell ref="J10:J11"/>
    <mergeCell ref="K10:N10"/>
    <mergeCell ref="O10:O11"/>
    <mergeCell ref="J15:J17"/>
    <mergeCell ref="I16:I17"/>
    <mergeCell ref="O16:O17"/>
    <mergeCell ref="I19:I22"/>
    <mergeCell ref="J19:J22"/>
    <mergeCell ref="O19:O22"/>
    <mergeCell ref="K28:L28"/>
    <mergeCell ref="K31:L31"/>
    <mergeCell ref="M31:Q31"/>
    <mergeCell ref="H25:J25"/>
    <mergeCell ref="K25:L25"/>
    <mergeCell ref="M25:Q25"/>
    <mergeCell ref="L27:M27"/>
  </mergeCells>
  <phoneticPr fontId="11"/>
  <pageMargins left="0.59055118110236227" right="0.19685039370078741" top="0.78740157480314965" bottom="0" header="0" footer="0"/>
  <pageSetup paperSize="9" scale="7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indexed="13"/>
  </sheetPr>
  <dimension ref="A1:V26"/>
  <sheetViews>
    <sheetView view="pageBreakPreview" zoomScale="85" zoomScaleNormal="70" zoomScaleSheetLayoutView="85" workbookViewId="0">
      <selection activeCell="P3" sqref="P3"/>
    </sheetView>
  </sheetViews>
  <sheetFormatPr defaultRowHeight="13.5" x14ac:dyDescent="0.15"/>
  <cols>
    <col min="1" max="1" width="11.625" style="339" customWidth="1"/>
    <col min="2" max="2" width="13.625" style="339" customWidth="1"/>
    <col min="3" max="3" width="1.5" style="339" customWidth="1"/>
    <col min="4" max="4" width="9" style="339"/>
    <col min="5" max="5" width="1.25" style="339" customWidth="1"/>
    <col min="6" max="6" width="14.125" style="339" customWidth="1"/>
    <col min="7" max="7" width="1.25" style="339" customWidth="1"/>
    <col min="8" max="8" width="17.625" style="339" customWidth="1"/>
    <col min="9" max="9" width="1.625" style="339" customWidth="1"/>
    <col min="10" max="10" width="12.25" style="339" customWidth="1"/>
    <col min="11" max="11" width="4.125" style="339" customWidth="1"/>
    <col min="12" max="12" width="10.625" style="339" customWidth="1"/>
    <col min="13" max="13" width="4.125" style="339" customWidth="1"/>
    <col min="14" max="14" width="10.625" style="339" customWidth="1"/>
    <col min="15" max="15" width="3" style="339" customWidth="1"/>
    <col min="16" max="16" width="10.625" style="339" customWidth="1"/>
    <col min="17" max="17" width="4.125" style="339" customWidth="1"/>
    <col min="18" max="18" width="10.625" style="339" customWidth="1"/>
    <col min="19" max="19" width="4.125" style="339" customWidth="1"/>
    <col min="20" max="20" width="10.625" style="339" customWidth="1"/>
    <col min="21" max="21" width="1.5" style="339" customWidth="1"/>
    <col min="22" max="16384" width="9" style="339"/>
  </cols>
  <sheetData>
    <row r="1" spans="1:22" ht="27" customHeight="1" thickBot="1" x14ac:dyDescent="0.2">
      <c r="A1" s="445" t="s">
        <v>467</v>
      </c>
      <c r="B1" s="337" t="s">
        <v>97</v>
      </c>
      <c r="C1" s="673" t="s">
        <v>53</v>
      </c>
      <c r="D1" s="673"/>
      <c r="E1" s="673"/>
      <c r="F1" s="673"/>
      <c r="G1" s="673"/>
      <c r="H1" s="673"/>
      <c r="I1" s="673"/>
      <c r="J1" s="673"/>
      <c r="K1" s="673"/>
      <c r="L1" s="673"/>
      <c r="M1" s="673"/>
      <c r="N1" s="673"/>
      <c r="O1" s="673"/>
      <c r="P1" s="673"/>
      <c r="Q1" s="673"/>
      <c r="R1" s="673"/>
      <c r="S1" s="673"/>
      <c r="T1" s="673"/>
      <c r="U1" s="674"/>
      <c r="V1" s="338"/>
    </row>
    <row r="2" spans="1:22" ht="21" customHeight="1" x14ac:dyDescent="0.15">
      <c r="A2" s="340"/>
      <c r="B2" s="340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41"/>
      <c r="V2" s="338"/>
    </row>
    <row r="3" spans="1:22" ht="21" customHeight="1" x14ac:dyDescent="0.15">
      <c r="A3" s="342" t="str">
        <f>'現況､事業計画(1)～(3)'!A3</f>
        <v>○○市町村</v>
      </c>
      <c r="B3" s="342" t="str">
        <f>'現況､事業計画(1)～(3)'!B3</f>
        <v>○○</v>
      </c>
      <c r="C3" s="338"/>
      <c r="D3" s="443" t="s">
        <v>458</v>
      </c>
      <c r="E3" s="443"/>
      <c r="F3" s="443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341"/>
      <c r="V3" s="338"/>
    </row>
    <row r="4" spans="1:22" ht="21" customHeight="1" x14ac:dyDescent="0.15">
      <c r="A4" s="342" t="str">
        <f>'現況､事業計画(1)～(3)'!A4</f>
        <v>○○地区</v>
      </c>
      <c r="B4" s="342" t="str">
        <f>'現況､事業計画(1)～(3)'!B5</f>
        <v>（型）</v>
      </c>
      <c r="C4" s="338"/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338"/>
      <c r="S4" s="338"/>
      <c r="T4" s="338"/>
      <c r="U4" s="341"/>
      <c r="V4" s="338"/>
    </row>
    <row r="5" spans="1:22" ht="23.25" customHeight="1" x14ac:dyDescent="0.15">
      <c r="A5" s="670" t="str">
        <f>'現況､事業計画(1)～(3)'!A5</f>
        <v>○○生産組合</v>
      </c>
      <c r="B5" s="343"/>
      <c r="C5" s="338"/>
      <c r="D5" s="678" t="s">
        <v>287</v>
      </c>
      <c r="E5" s="679"/>
      <c r="F5" s="679"/>
      <c r="G5" s="680">
        <f>'現況､事業計画(1)～(3)'!O29*0.01</f>
        <v>77.23</v>
      </c>
      <c r="H5" s="680"/>
      <c r="I5" s="345"/>
      <c r="J5" s="344"/>
      <c r="K5" s="344"/>
      <c r="L5" s="344"/>
      <c r="M5" s="344"/>
      <c r="N5" s="344"/>
      <c r="O5" s="344"/>
      <c r="P5" s="344"/>
      <c r="Q5" s="344"/>
      <c r="R5" s="344"/>
      <c r="S5" s="344"/>
      <c r="T5" s="346"/>
      <c r="U5" s="341"/>
      <c r="V5" s="338"/>
    </row>
    <row r="6" spans="1:22" ht="23.25" customHeight="1" x14ac:dyDescent="0.15">
      <c r="A6" s="670"/>
      <c r="B6" s="340"/>
      <c r="C6" s="338"/>
      <c r="D6" s="347"/>
      <c r="E6" s="338"/>
      <c r="F6" s="338"/>
      <c r="G6" s="338"/>
      <c r="H6" s="338"/>
      <c r="I6" s="338"/>
      <c r="J6" s="338"/>
      <c r="K6" s="338"/>
      <c r="L6" s="338"/>
      <c r="M6" s="338"/>
      <c r="N6" s="338"/>
      <c r="O6" s="338"/>
      <c r="P6" s="338"/>
      <c r="Q6" s="338"/>
      <c r="R6" s="338"/>
      <c r="S6" s="338"/>
      <c r="T6" s="348"/>
      <c r="U6" s="341"/>
      <c r="V6" s="338"/>
    </row>
    <row r="7" spans="1:22" ht="23.25" customHeight="1" x14ac:dyDescent="0.15">
      <c r="A7" s="340"/>
      <c r="B7" s="340"/>
      <c r="C7" s="338"/>
      <c r="D7" s="677" t="s">
        <v>64</v>
      </c>
      <c r="E7" s="349"/>
      <c r="F7" s="350" t="s">
        <v>65</v>
      </c>
      <c r="G7" s="351"/>
      <c r="H7" s="352" t="s">
        <v>66</v>
      </c>
      <c r="I7" s="350"/>
      <c r="J7" s="681" t="s">
        <v>67</v>
      </c>
      <c r="K7" s="681"/>
      <c r="L7" s="681"/>
      <c r="M7" s="681"/>
      <c r="N7" s="681"/>
      <c r="O7" s="681"/>
      <c r="P7" s="681"/>
      <c r="Q7" s="681"/>
      <c r="R7" s="681"/>
      <c r="S7" s="681"/>
      <c r="T7" s="682"/>
      <c r="U7" s="341"/>
      <c r="V7" s="338"/>
    </row>
    <row r="8" spans="1:22" ht="23.25" customHeight="1" x14ac:dyDescent="0.15">
      <c r="A8" s="340"/>
      <c r="B8" s="340"/>
      <c r="C8" s="338"/>
      <c r="D8" s="677"/>
      <c r="E8" s="349"/>
      <c r="F8" s="353" t="s">
        <v>423</v>
      </c>
      <c r="G8" s="351"/>
      <c r="H8" s="354">
        <f>T8</f>
        <v>20322936</v>
      </c>
      <c r="I8" s="355"/>
      <c r="J8" s="356">
        <f>目標収支計画!C5</f>
        <v>9500</v>
      </c>
      <c r="K8" s="350" t="s">
        <v>424</v>
      </c>
      <c r="L8" s="357">
        <f>G5</f>
        <v>77.23</v>
      </c>
      <c r="M8" s="350" t="s">
        <v>425</v>
      </c>
      <c r="N8" s="358">
        <f>ROUNDDOWN(J8*L8/10,0)</f>
        <v>73368</v>
      </c>
      <c r="O8" s="350"/>
      <c r="P8" s="358">
        <f>N8</f>
        <v>73368</v>
      </c>
      <c r="Q8" s="350" t="s">
        <v>424</v>
      </c>
      <c r="R8" s="359">
        <f>目標収支計画!E5</f>
        <v>277</v>
      </c>
      <c r="S8" s="350" t="s">
        <v>425</v>
      </c>
      <c r="T8" s="360">
        <f>P8*R8</f>
        <v>20322936</v>
      </c>
      <c r="U8" s="341"/>
      <c r="V8" s="338"/>
    </row>
    <row r="9" spans="1:22" ht="23.25" customHeight="1" x14ac:dyDescent="0.15">
      <c r="A9" s="340"/>
      <c r="B9" s="340"/>
      <c r="C9" s="338"/>
      <c r="D9" s="677"/>
      <c r="E9" s="349"/>
      <c r="F9" s="353"/>
      <c r="G9" s="351"/>
      <c r="H9" s="354"/>
      <c r="I9" s="350"/>
      <c r="J9" s="361"/>
      <c r="K9" s="350"/>
      <c r="L9" s="357"/>
      <c r="M9" s="350"/>
      <c r="N9" s="350"/>
      <c r="O9" s="350"/>
      <c r="P9" s="350"/>
      <c r="Q9" s="350"/>
      <c r="R9" s="350"/>
      <c r="S9" s="350"/>
      <c r="T9" s="351"/>
      <c r="U9" s="341"/>
      <c r="V9" s="338"/>
    </row>
    <row r="10" spans="1:22" ht="23.25" customHeight="1" x14ac:dyDescent="0.15">
      <c r="A10" s="340"/>
      <c r="B10" s="340"/>
      <c r="C10" s="338"/>
      <c r="D10" s="677"/>
      <c r="E10" s="349"/>
      <c r="F10" s="353" t="s">
        <v>61</v>
      </c>
      <c r="G10" s="351"/>
      <c r="H10" s="354">
        <f>H8</f>
        <v>20322936</v>
      </c>
      <c r="I10" s="355"/>
      <c r="J10" s="361"/>
      <c r="K10" s="350"/>
      <c r="L10" s="357"/>
      <c r="M10" s="350"/>
      <c r="N10" s="350"/>
      <c r="O10" s="350"/>
      <c r="P10" s="350"/>
      <c r="Q10" s="350"/>
      <c r="R10" s="350"/>
      <c r="S10" s="350"/>
      <c r="T10" s="351"/>
      <c r="U10" s="341"/>
      <c r="V10" s="338"/>
    </row>
    <row r="11" spans="1:22" ht="23.25" customHeight="1" x14ac:dyDescent="0.15">
      <c r="A11" s="340"/>
      <c r="B11" s="340"/>
      <c r="C11" s="338"/>
      <c r="D11" s="685" t="s">
        <v>68</v>
      </c>
      <c r="E11" s="349"/>
      <c r="F11" s="353" t="s">
        <v>107</v>
      </c>
      <c r="G11" s="351"/>
      <c r="H11" s="354">
        <f t="shared" ref="H11:H18" si="0">N11</f>
        <v>61722</v>
      </c>
      <c r="I11" s="355"/>
      <c r="J11" s="362">
        <f>VLOOKUP(F11,目標収支計画!$B$12:$G$20,4,0)</f>
        <v>7992</v>
      </c>
      <c r="K11" s="350" t="s">
        <v>426</v>
      </c>
      <c r="L11" s="357">
        <f t="shared" ref="L11:L18" si="1">$G$5</f>
        <v>77.23</v>
      </c>
      <c r="M11" s="350" t="s">
        <v>72</v>
      </c>
      <c r="N11" s="363">
        <f t="shared" ref="N11:N18" si="2">ROUNDDOWN(J11*L11/10,0)</f>
        <v>61722</v>
      </c>
      <c r="O11" s="350"/>
      <c r="P11" s="350"/>
      <c r="Q11" s="350"/>
      <c r="R11" s="350"/>
      <c r="S11" s="350"/>
      <c r="T11" s="351"/>
      <c r="U11" s="341"/>
      <c r="V11" s="338"/>
    </row>
    <row r="12" spans="1:22" ht="23.25" customHeight="1" x14ac:dyDescent="0.15">
      <c r="A12" s="340"/>
      <c r="B12" s="340"/>
      <c r="C12" s="338"/>
      <c r="D12" s="686"/>
      <c r="E12" s="349"/>
      <c r="F12" s="353" t="str">
        <f>目標収支計画!B13</f>
        <v>肥料代</v>
      </c>
      <c r="G12" s="351"/>
      <c r="H12" s="354">
        <f t="shared" si="0"/>
        <v>720023</v>
      </c>
      <c r="I12" s="364"/>
      <c r="J12" s="362">
        <f>VLOOKUP(F12,目標収支計画!$B$13:$G$20,4,0)</f>
        <v>93231</v>
      </c>
      <c r="K12" s="350" t="s">
        <v>426</v>
      </c>
      <c r="L12" s="357">
        <f t="shared" si="1"/>
        <v>77.23</v>
      </c>
      <c r="M12" s="350" t="s">
        <v>72</v>
      </c>
      <c r="N12" s="363">
        <f t="shared" si="2"/>
        <v>720023</v>
      </c>
      <c r="O12" s="350"/>
      <c r="P12" s="350"/>
      <c r="Q12" s="350"/>
      <c r="R12" s="350"/>
      <c r="S12" s="350"/>
      <c r="T12" s="351"/>
      <c r="U12" s="341"/>
      <c r="V12" s="338"/>
    </row>
    <row r="13" spans="1:22" ht="23.25" customHeight="1" x14ac:dyDescent="0.15">
      <c r="A13" s="340"/>
      <c r="B13" s="340"/>
      <c r="C13" s="338"/>
      <c r="D13" s="686"/>
      <c r="E13" s="349"/>
      <c r="F13" s="353" t="str">
        <f>目標収支計画!B14</f>
        <v>農薬代</v>
      </c>
      <c r="G13" s="351"/>
      <c r="H13" s="354">
        <f t="shared" si="0"/>
        <v>246888</v>
      </c>
      <c r="I13" s="364"/>
      <c r="J13" s="362">
        <f>VLOOKUP(F13,目標収支計画!$B$13:$G$20,4,0)</f>
        <v>31968</v>
      </c>
      <c r="K13" s="350" t="s">
        <v>426</v>
      </c>
      <c r="L13" s="357">
        <f t="shared" si="1"/>
        <v>77.23</v>
      </c>
      <c r="M13" s="350" t="s">
        <v>72</v>
      </c>
      <c r="N13" s="363">
        <f t="shared" si="2"/>
        <v>246888</v>
      </c>
      <c r="O13" s="350"/>
      <c r="P13" s="350"/>
      <c r="Q13" s="350"/>
      <c r="R13" s="350"/>
      <c r="S13" s="350"/>
      <c r="T13" s="351"/>
      <c r="U13" s="341"/>
      <c r="V13" s="338"/>
    </row>
    <row r="14" spans="1:22" ht="23.25" customHeight="1" x14ac:dyDescent="0.15">
      <c r="A14" s="340"/>
      <c r="B14" s="340"/>
      <c r="C14" s="338"/>
      <c r="D14" s="686"/>
      <c r="E14" s="349"/>
      <c r="F14" s="353" t="str">
        <f>目標収支計画!B15</f>
        <v>光熱費</v>
      </c>
      <c r="G14" s="351"/>
      <c r="H14" s="354">
        <f t="shared" si="0"/>
        <v>165658</v>
      </c>
      <c r="I14" s="364"/>
      <c r="J14" s="362">
        <f>VLOOKUP(F14,目標収支計画!$B$13:$G$20,4,0)</f>
        <v>21450</v>
      </c>
      <c r="K14" s="350" t="s">
        <v>426</v>
      </c>
      <c r="L14" s="357">
        <f t="shared" si="1"/>
        <v>77.23</v>
      </c>
      <c r="M14" s="350" t="s">
        <v>72</v>
      </c>
      <c r="N14" s="363">
        <f t="shared" si="2"/>
        <v>165658</v>
      </c>
      <c r="O14" s="350"/>
      <c r="P14" s="350"/>
      <c r="Q14" s="350"/>
      <c r="R14" s="350"/>
      <c r="S14" s="350"/>
      <c r="T14" s="351"/>
      <c r="U14" s="341"/>
      <c r="V14" s="338"/>
    </row>
    <row r="15" spans="1:22" ht="23.25" customHeight="1" x14ac:dyDescent="0.15">
      <c r="A15" s="340"/>
      <c r="B15" s="340"/>
      <c r="C15" s="338"/>
      <c r="D15" s="686"/>
      <c r="E15" s="349"/>
      <c r="F15" s="353" t="str">
        <f>目標収支計画!B16</f>
        <v>施設共済費</v>
      </c>
      <c r="G15" s="351"/>
      <c r="H15" s="354">
        <f t="shared" si="0"/>
        <v>239752</v>
      </c>
      <c r="I15" s="364"/>
      <c r="J15" s="362">
        <f>VLOOKUP(F15,目標収支計画!$B$13:$G$20,4,0)</f>
        <v>31044</v>
      </c>
      <c r="K15" s="350" t="s">
        <v>426</v>
      </c>
      <c r="L15" s="357">
        <f t="shared" si="1"/>
        <v>77.23</v>
      </c>
      <c r="M15" s="350" t="s">
        <v>72</v>
      </c>
      <c r="N15" s="363">
        <f t="shared" si="2"/>
        <v>239752</v>
      </c>
      <c r="O15" s="350"/>
      <c r="P15" s="350"/>
      <c r="Q15" s="350"/>
      <c r="R15" s="350"/>
      <c r="S15" s="350"/>
      <c r="T15" s="351"/>
      <c r="U15" s="341"/>
      <c r="V15" s="338"/>
    </row>
    <row r="16" spans="1:22" ht="23.25" customHeight="1" x14ac:dyDescent="0.15">
      <c r="A16" s="340"/>
      <c r="B16" s="340"/>
      <c r="C16" s="338"/>
      <c r="D16" s="686"/>
      <c r="E16" s="349"/>
      <c r="F16" s="353" t="str">
        <f>目標収支計画!B17</f>
        <v>諸資材費</v>
      </c>
      <c r="G16" s="351"/>
      <c r="H16" s="354">
        <f t="shared" si="0"/>
        <v>734828</v>
      </c>
      <c r="I16" s="364"/>
      <c r="J16" s="362">
        <f>VLOOKUP(F16,目標収支計画!$B$13:$G$20,4,0)</f>
        <v>95148</v>
      </c>
      <c r="K16" s="350" t="s">
        <v>426</v>
      </c>
      <c r="L16" s="357">
        <f t="shared" si="1"/>
        <v>77.23</v>
      </c>
      <c r="M16" s="350" t="s">
        <v>72</v>
      </c>
      <c r="N16" s="363">
        <f t="shared" si="2"/>
        <v>734828</v>
      </c>
      <c r="O16" s="350"/>
      <c r="P16" s="350"/>
      <c r="Q16" s="350"/>
      <c r="R16" s="350"/>
      <c r="S16" s="350"/>
      <c r="T16" s="351"/>
      <c r="U16" s="341"/>
      <c r="V16" s="338"/>
    </row>
    <row r="17" spans="1:22" ht="23.25" customHeight="1" x14ac:dyDescent="0.15">
      <c r="A17" s="340"/>
      <c r="B17" s="340"/>
      <c r="C17" s="338"/>
      <c r="D17" s="686"/>
      <c r="E17" s="349"/>
      <c r="F17" s="353" t="str">
        <f>目標収支計画!B18</f>
        <v>修繕費</v>
      </c>
      <c r="G17" s="351"/>
      <c r="H17" s="354">
        <f t="shared" si="0"/>
        <v>229373</v>
      </c>
      <c r="I17" s="364"/>
      <c r="J17" s="362">
        <f>VLOOKUP(F17,目標収支計画!$B$13:$G$20,4,0)</f>
        <v>29700</v>
      </c>
      <c r="K17" s="350" t="s">
        <v>426</v>
      </c>
      <c r="L17" s="357">
        <f t="shared" si="1"/>
        <v>77.23</v>
      </c>
      <c r="M17" s="350" t="s">
        <v>72</v>
      </c>
      <c r="N17" s="363">
        <f t="shared" si="2"/>
        <v>229373</v>
      </c>
      <c r="O17" s="350"/>
      <c r="P17" s="350"/>
      <c r="Q17" s="350"/>
      <c r="R17" s="350"/>
      <c r="S17" s="350"/>
      <c r="T17" s="351"/>
      <c r="U17" s="341"/>
      <c r="V17" s="338"/>
    </row>
    <row r="18" spans="1:22" ht="23.25" customHeight="1" x14ac:dyDescent="0.15">
      <c r="A18" s="340"/>
      <c r="B18" s="340"/>
      <c r="C18" s="338"/>
      <c r="D18" s="686"/>
      <c r="E18" s="349"/>
      <c r="F18" s="353" t="str">
        <f>目標収支計画!B19</f>
        <v>利用料</v>
      </c>
      <c r="G18" s="351"/>
      <c r="H18" s="354">
        <f t="shared" si="0"/>
        <v>2262839</v>
      </c>
      <c r="I18" s="364"/>
      <c r="J18" s="362">
        <f>VLOOKUP(F18,目標収支計画!$B$13:$G$20,4,0)</f>
        <v>293000</v>
      </c>
      <c r="K18" s="350" t="s">
        <v>426</v>
      </c>
      <c r="L18" s="357">
        <f t="shared" si="1"/>
        <v>77.23</v>
      </c>
      <c r="M18" s="350" t="s">
        <v>72</v>
      </c>
      <c r="N18" s="363">
        <f t="shared" si="2"/>
        <v>2262839</v>
      </c>
      <c r="O18" s="350"/>
      <c r="P18" s="350"/>
      <c r="Q18" s="350"/>
      <c r="R18" s="350"/>
      <c r="S18" s="350"/>
      <c r="T18" s="351"/>
      <c r="U18" s="341"/>
      <c r="V18" s="338"/>
    </row>
    <row r="19" spans="1:22" ht="23.25" customHeight="1" x14ac:dyDescent="0.15">
      <c r="A19" s="340"/>
      <c r="B19" s="340"/>
      <c r="C19" s="338"/>
      <c r="D19" s="686"/>
      <c r="E19" s="349"/>
      <c r="F19" s="353" t="str">
        <f>目標収支計画!B20</f>
        <v>減価償却費</v>
      </c>
      <c r="G19" s="351"/>
      <c r="H19" s="354">
        <f>N19</f>
        <v>67500</v>
      </c>
      <c r="I19" s="364"/>
      <c r="J19" s="365">
        <f>ピーマン積算根拠!K92</f>
        <v>11250</v>
      </c>
      <c r="K19" s="350" t="s">
        <v>426</v>
      </c>
      <c r="L19" s="366">
        <v>6</v>
      </c>
      <c r="M19" s="350" t="s">
        <v>72</v>
      </c>
      <c r="N19" s="367">
        <f>J19*L19</f>
        <v>67500</v>
      </c>
      <c r="O19" s="350"/>
      <c r="P19" s="338"/>
      <c r="Q19" s="350"/>
      <c r="R19" s="338"/>
      <c r="S19" s="350"/>
      <c r="T19" s="351"/>
      <c r="U19" s="341"/>
      <c r="V19" s="338"/>
    </row>
    <row r="20" spans="1:22" ht="23.25" customHeight="1" x14ac:dyDescent="0.15">
      <c r="A20" s="340"/>
      <c r="B20" s="340"/>
      <c r="C20" s="338"/>
      <c r="D20" s="686"/>
      <c r="E20" s="349"/>
      <c r="F20" s="353" t="str">
        <f>目標収支計画!A22</f>
        <v>手数料</v>
      </c>
      <c r="G20" s="351"/>
      <c r="H20" s="354">
        <f>N20</f>
        <v>2337153</v>
      </c>
      <c r="I20" s="364"/>
      <c r="J20" s="362">
        <f>VLOOKUP(F20,目標収支計画!$A$22:$G$25,5,0)</f>
        <v>302622.5</v>
      </c>
      <c r="K20" s="350" t="s">
        <v>26</v>
      </c>
      <c r="L20" s="357">
        <f>$G$5</f>
        <v>77.23</v>
      </c>
      <c r="M20" s="350" t="s">
        <v>27</v>
      </c>
      <c r="N20" s="363">
        <f>ROUNDDOWN(J20*L20/10,0)</f>
        <v>2337153</v>
      </c>
      <c r="O20" s="350"/>
      <c r="P20" s="350"/>
      <c r="Q20" s="350"/>
      <c r="R20" s="350"/>
      <c r="S20" s="350"/>
      <c r="T20" s="351"/>
      <c r="U20" s="341"/>
      <c r="V20" s="338"/>
    </row>
    <row r="21" spans="1:22" ht="23.25" customHeight="1" x14ac:dyDescent="0.15">
      <c r="A21" s="340"/>
      <c r="B21" s="340"/>
      <c r="C21" s="338"/>
      <c r="D21" s="686"/>
      <c r="E21" s="349"/>
      <c r="F21" s="353" t="str">
        <f>目標収支計画!A23</f>
        <v>選果料金</v>
      </c>
      <c r="G21" s="351"/>
      <c r="H21" s="354">
        <f>N21</f>
        <v>1100527</v>
      </c>
      <c r="I21" s="364"/>
      <c r="J21" s="362">
        <f>VLOOKUP(F21,目標収支計画!$A$22:$G$25,5,0)</f>
        <v>142500</v>
      </c>
      <c r="K21" s="350" t="s">
        <v>26</v>
      </c>
      <c r="L21" s="357">
        <f>$G$5</f>
        <v>77.23</v>
      </c>
      <c r="M21" s="350" t="s">
        <v>27</v>
      </c>
      <c r="N21" s="363">
        <f>ROUNDDOWN(J21*L21/10,0)</f>
        <v>1100527</v>
      </c>
      <c r="O21" s="350"/>
      <c r="P21" s="350"/>
      <c r="Q21" s="350"/>
      <c r="R21" s="350"/>
      <c r="S21" s="350"/>
      <c r="T21" s="351"/>
      <c r="U21" s="341"/>
      <c r="V21" s="338"/>
    </row>
    <row r="22" spans="1:22" ht="23.25" customHeight="1" x14ac:dyDescent="0.15">
      <c r="A22" s="340"/>
      <c r="B22" s="340"/>
      <c r="C22" s="338"/>
      <c r="D22" s="686"/>
      <c r="E22" s="349"/>
      <c r="F22" s="353" t="str">
        <f>目標収支計画!A24</f>
        <v>運賃</v>
      </c>
      <c r="G22" s="351"/>
      <c r="H22" s="354">
        <f>N22</f>
        <v>660316</v>
      </c>
      <c r="I22" s="364"/>
      <c r="J22" s="362">
        <f>VLOOKUP(F22,目標収支計画!$A$22:$G$25,5,0)</f>
        <v>85500</v>
      </c>
      <c r="K22" s="350" t="s">
        <v>26</v>
      </c>
      <c r="L22" s="357">
        <f>$G$5</f>
        <v>77.23</v>
      </c>
      <c r="M22" s="350" t="s">
        <v>27</v>
      </c>
      <c r="N22" s="363">
        <f>ROUNDDOWN(J22*L22/10,0)</f>
        <v>660316</v>
      </c>
      <c r="O22" s="350"/>
      <c r="P22" s="350"/>
      <c r="Q22" s="350"/>
      <c r="R22" s="350"/>
      <c r="S22" s="350"/>
      <c r="T22" s="351"/>
      <c r="U22" s="341"/>
      <c r="V22" s="338"/>
    </row>
    <row r="23" spans="1:22" ht="23.25" customHeight="1" x14ac:dyDescent="0.15">
      <c r="A23" s="340"/>
      <c r="B23" s="340"/>
      <c r="C23" s="338"/>
      <c r="D23" s="686"/>
      <c r="E23" s="349"/>
      <c r="F23" s="353" t="str">
        <f>目標収支計画!A25</f>
        <v>包装費</v>
      </c>
      <c r="G23" s="351"/>
      <c r="H23" s="368">
        <f>N23</f>
        <v>1100527</v>
      </c>
      <c r="I23" s="350"/>
      <c r="J23" s="362">
        <f>VLOOKUP(F23,目標収支計画!$A$22:$G$25,5,0)</f>
        <v>142500</v>
      </c>
      <c r="K23" s="350" t="s">
        <v>26</v>
      </c>
      <c r="L23" s="357">
        <f>$G$5</f>
        <v>77.23</v>
      </c>
      <c r="M23" s="350" t="s">
        <v>27</v>
      </c>
      <c r="N23" s="369">
        <f>ROUNDDOWN(J23*L23/10,0)</f>
        <v>1100527</v>
      </c>
      <c r="O23" s="350"/>
      <c r="P23" s="350"/>
      <c r="Q23" s="350"/>
      <c r="R23" s="350"/>
      <c r="S23" s="350"/>
      <c r="T23" s="351"/>
      <c r="U23" s="341"/>
      <c r="V23" s="338"/>
    </row>
    <row r="24" spans="1:22" ht="23.25" customHeight="1" x14ac:dyDescent="0.15">
      <c r="A24" s="340"/>
      <c r="B24" s="340"/>
      <c r="C24" s="338"/>
      <c r="D24" s="687"/>
      <c r="E24" s="349"/>
      <c r="F24" s="350" t="s">
        <v>61</v>
      </c>
      <c r="G24" s="351"/>
      <c r="H24" s="370">
        <f>SUM(H12:H23)</f>
        <v>9865384</v>
      </c>
      <c r="I24" s="355"/>
      <c r="J24" s="361"/>
      <c r="K24" s="350"/>
      <c r="L24" s="350"/>
      <c r="M24" s="350"/>
      <c r="N24" s="350"/>
      <c r="O24" s="350"/>
      <c r="P24" s="350"/>
      <c r="Q24" s="350"/>
      <c r="R24" s="350"/>
      <c r="S24" s="350"/>
      <c r="T24" s="351"/>
      <c r="U24" s="341"/>
      <c r="V24" s="338"/>
    </row>
    <row r="25" spans="1:22" ht="34.5" customHeight="1" x14ac:dyDescent="0.15">
      <c r="A25" s="340"/>
      <c r="B25" s="340"/>
      <c r="C25" s="338"/>
      <c r="D25" s="683" t="s">
        <v>69</v>
      </c>
      <c r="E25" s="681"/>
      <c r="F25" s="681"/>
      <c r="G25" s="682"/>
      <c r="H25" s="675" t="s">
        <v>70</v>
      </c>
      <c r="I25" s="676"/>
      <c r="J25" s="684">
        <f>H10</f>
        <v>20322936</v>
      </c>
      <c r="K25" s="684"/>
      <c r="L25" s="684"/>
      <c r="M25" s="350" t="s">
        <v>71</v>
      </c>
      <c r="N25" s="671">
        <f>H24</f>
        <v>9865384</v>
      </c>
      <c r="O25" s="671"/>
      <c r="P25" s="671"/>
      <c r="Q25" s="350" t="s">
        <v>72</v>
      </c>
      <c r="R25" s="671">
        <f>J25-N25</f>
        <v>10457552</v>
      </c>
      <c r="S25" s="671"/>
      <c r="T25" s="672"/>
      <c r="U25" s="341"/>
      <c r="V25" s="338"/>
    </row>
    <row r="26" spans="1:22" ht="14.25" thickBot="1" x14ac:dyDescent="0.2">
      <c r="A26" s="371"/>
      <c r="B26" s="371"/>
      <c r="C26" s="372"/>
      <c r="D26" s="372"/>
      <c r="E26" s="372"/>
      <c r="F26" s="372"/>
      <c r="G26" s="372"/>
      <c r="H26" s="372"/>
      <c r="I26" s="372"/>
      <c r="J26" s="372"/>
      <c r="K26" s="372"/>
      <c r="L26" s="372"/>
      <c r="M26" s="372"/>
      <c r="N26" s="372"/>
      <c r="O26" s="372"/>
      <c r="P26" s="372"/>
      <c r="Q26" s="372"/>
      <c r="R26" s="372"/>
      <c r="S26" s="372"/>
      <c r="T26" s="372"/>
      <c r="U26" s="373"/>
      <c r="V26" s="338"/>
    </row>
  </sheetData>
  <mergeCells count="12">
    <mergeCell ref="A5:A6"/>
    <mergeCell ref="R25:T25"/>
    <mergeCell ref="C1:U1"/>
    <mergeCell ref="H25:I25"/>
    <mergeCell ref="D7:D10"/>
    <mergeCell ref="D5:F5"/>
    <mergeCell ref="G5:H5"/>
    <mergeCell ref="J7:T7"/>
    <mergeCell ref="D25:G25"/>
    <mergeCell ref="J25:L25"/>
    <mergeCell ref="D11:D24"/>
    <mergeCell ref="N25:P25"/>
  </mergeCells>
  <phoneticPr fontId="11"/>
  <printOptions horizontalCentered="1" verticalCentered="1"/>
  <pageMargins left="0.59055118110236227" right="0.47244094488188981" top="0.59055118110236227" bottom="0.59055118110236227" header="0.51181102362204722" footer="0.51181102362204722"/>
  <pageSetup paperSize="9" scale="86" firstPageNumber="66" orientation="landscape" horizontalDpi="1200" verticalDpi="12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34"/>
  </sheetPr>
  <dimension ref="A1:AL27"/>
  <sheetViews>
    <sheetView view="pageBreakPreview" zoomScale="85" zoomScaleNormal="85" zoomScaleSheetLayoutView="69" workbookViewId="0">
      <selection activeCell="H22" sqref="H22:X22"/>
    </sheetView>
  </sheetViews>
  <sheetFormatPr defaultRowHeight="13.5" x14ac:dyDescent="0.15"/>
  <cols>
    <col min="1" max="5" width="5.625" style="332" customWidth="1"/>
    <col min="6" max="6" width="6" style="332" customWidth="1"/>
    <col min="7" max="18" width="5.625" style="332" customWidth="1"/>
    <col min="19" max="20" width="6.875" style="332" customWidth="1"/>
    <col min="21" max="24" width="6.5" style="332" customWidth="1"/>
    <col min="25" max="80" width="5.625" style="332" customWidth="1"/>
    <col min="81" max="16384" width="9" style="332"/>
  </cols>
  <sheetData>
    <row r="1" spans="1:38" ht="13.5" customHeight="1" x14ac:dyDescent="0.2">
      <c r="G1" s="718" t="s">
        <v>190</v>
      </c>
      <c r="H1" s="718"/>
      <c r="I1" s="718"/>
      <c r="J1" s="718"/>
      <c r="K1" s="718"/>
      <c r="L1" s="718"/>
      <c r="M1" s="718"/>
      <c r="N1" s="718"/>
      <c r="O1" s="718"/>
      <c r="P1" s="718"/>
      <c r="S1" s="333"/>
      <c r="T1" s="333"/>
      <c r="U1" s="333"/>
      <c r="V1" s="333"/>
      <c r="W1" s="333"/>
      <c r="X1" s="333"/>
    </row>
    <row r="2" spans="1:38" ht="13.5" customHeight="1" x14ac:dyDescent="0.2">
      <c r="G2" s="719"/>
      <c r="H2" s="719"/>
      <c r="I2" s="719"/>
      <c r="J2" s="719"/>
      <c r="K2" s="719"/>
      <c r="L2" s="719"/>
      <c r="M2" s="719"/>
      <c r="N2" s="719"/>
      <c r="O2" s="719"/>
      <c r="P2" s="719"/>
      <c r="S2" s="334"/>
      <c r="T2" s="334"/>
      <c r="U2" s="334"/>
      <c r="V2" s="334"/>
      <c r="W2" s="334"/>
      <c r="X2" s="334"/>
    </row>
    <row r="3" spans="1:38" ht="16.5" customHeight="1" x14ac:dyDescent="0.15">
      <c r="A3" s="693" t="s">
        <v>191</v>
      </c>
      <c r="B3" s="694"/>
      <c r="C3" s="693" t="s">
        <v>192</v>
      </c>
      <c r="D3" s="694"/>
      <c r="E3" s="720" t="s">
        <v>193</v>
      </c>
      <c r="F3" s="721"/>
      <c r="G3" s="693" t="s">
        <v>194</v>
      </c>
      <c r="H3" s="694"/>
      <c r="I3" s="691" t="s">
        <v>195</v>
      </c>
      <c r="J3" s="717"/>
      <c r="K3" s="717"/>
      <c r="L3" s="717"/>
      <c r="M3" s="717"/>
      <c r="N3" s="717"/>
      <c r="O3" s="717"/>
      <c r="P3" s="717"/>
      <c r="Q3" s="717"/>
      <c r="R3" s="717"/>
      <c r="S3" s="717"/>
      <c r="T3" s="692"/>
      <c r="U3" s="693" t="s">
        <v>196</v>
      </c>
      <c r="V3" s="694"/>
      <c r="W3" s="693" t="s">
        <v>197</v>
      </c>
      <c r="X3" s="694"/>
    </row>
    <row r="4" spans="1:38" ht="16.5" customHeight="1" x14ac:dyDescent="0.15">
      <c r="A4" s="695"/>
      <c r="B4" s="696"/>
      <c r="C4" s="695"/>
      <c r="D4" s="696"/>
      <c r="E4" s="722"/>
      <c r="F4" s="723"/>
      <c r="G4" s="695"/>
      <c r="H4" s="696"/>
      <c r="I4" s="691" t="s">
        <v>198</v>
      </c>
      <c r="J4" s="692"/>
      <c r="K4" s="691" t="s">
        <v>199</v>
      </c>
      <c r="L4" s="692"/>
      <c r="M4" s="691" t="s">
        <v>200</v>
      </c>
      <c r="N4" s="692"/>
      <c r="O4" s="691" t="s">
        <v>201</v>
      </c>
      <c r="P4" s="692"/>
      <c r="Q4" s="691" t="s">
        <v>202</v>
      </c>
      <c r="R4" s="692"/>
      <c r="S4" s="691" t="s">
        <v>203</v>
      </c>
      <c r="T4" s="692"/>
      <c r="U4" s="695"/>
      <c r="V4" s="696"/>
      <c r="W4" s="695"/>
      <c r="X4" s="696"/>
    </row>
    <row r="5" spans="1:38" ht="12.75" customHeight="1" x14ac:dyDescent="0.15">
      <c r="A5" s="693" t="s">
        <v>416</v>
      </c>
      <c r="B5" s="694"/>
      <c r="C5" s="699">
        <v>9500</v>
      </c>
      <c r="D5" s="700"/>
      <c r="E5" s="705">
        <v>277</v>
      </c>
      <c r="F5" s="706"/>
      <c r="G5" s="711">
        <f>C5*E5</f>
        <v>2631500</v>
      </c>
      <c r="H5" s="712"/>
      <c r="I5" s="705">
        <f>E21</f>
        <v>614783</v>
      </c>
      <c r="J5" s="706"/>
      <c r="K5" s="705">
        <f>E22</f>
        <v>302622.5</v>
      </c>
      <c r="L5" s="706"/>
      <c r="M5" s="705">
        <f>E23</f>
        <v>142500</v>
      </c>
      <c r="N5" s="706"/>
      <c r="O5" s="705">
        <f>E24</f>
        <v>85500</v>
      </c>
      <c r="P5" s="706"/>
      <c r="Q5" s="705">
        <f>E25</f>
        <v>142500</v>
      </c>
      <c r="R5" s="706"/>
      <c r="S5" s="705">
        <f>SUM(I5:R8)</f>
        <v>1287905.5</v>
      </c>
      <c r="T5" s="706"/>
      <c r="U5" s="705">
        <f>G5-S5</f>
        <v>1343594.5</v>
      </c>
      <c r="V5" s="706"/>
      <c r="W5" s="724">
        <f>(U5/G5)*100</f>
        <v>51.058122743682311</v>
      </c>
      <c r="X5" s="725"/>
    </row>
    <row r="6" spans="1:38" ht="12.75" customHeight="1" x14ac:dyDescent="0.15">
      <c r="A6" s="697"/>
      <c r="B6" s="698"/>
      <c r="C6" s="701"/>
      <c r="D6" s="702"/>
      <c r="E6" s="707"/>
      <c r="F6" s="708"/>
      <c r="G6" s="713"/>
      <c r="H6" s="714"/>
      <c r="I6" s="707"/>
      <c r="J6" s="708"/>
      <c r="K6" s="707"/>
      <c r="L6" s="708"/>
      <c r="M6" s="707"/>
      <c r="N6" s="708"/>
      <c r="O6" s="707"/>
      <c r="P6" s="708"/>
      <c r="Q6" s="707"/>
      <c r="R6" s="708"/>
      <c r="S6" s="707"/>
      <c r="T6" s="708"/>
      <c r="U6" s="707"/>
      <c r="V6" s="708"/>
      <c r="W6" s="726"/>
      <c r="X6" s="727"/>
    </row>
    <row r="7" spans="1:38" ht="12.75" customHeight="1" x14ac:dyDescent="0.15">
      <c r="A7" s="697"/>
      <c r="B7" s="698"/>
      <c r="C7" s="701"/>
      <c r="D7" s="702"/>
      <c r="E7" s="707"/>
      <c r="F7" s="708"/>
      <c r="G7" s="713"/>
      <c r="H7" s="714"/>
      <c r="I7" s="707"/>
      <c r="J7" s="708"/>
      <c r="K7" s="707"/>
      <c r="L7" s="708"/>
      <c r="M7" s="707"/>
      <c r="N7" s="708"/>
      <c r="O7" s="707"/>
      <c r="P7" s="708"/>
      <c r="Q7" s="707"/>
      <c r="R7" s="708"/>
      <c r="S7" s="707"/>
      <c r="T7" s="708"/>
      <c r="U7" s="707"/>
      <c r="V7" s="708"/>
      <c r="W7" s="726"/>
      <c r="X7" s="727"/>
    </row>
    <row r="8" spans="1:38" ht="12.75" customHeight="1" x14ac:dyDescent="0.15">
      <c r="A8" s="695"/>
      <c r="B8" s="696"/>
      <c r="C8" s="703"/>
      <c r="D8" s="704"/>
      <c r="E8" s="709"/>
      <c r="F8" s="710"/>
      <c r="G8" s="715"/>
      <c r="H8" s="716"/>
      <c r="I8" s="709"/>
      <c r="J8" s="710"/>
      <c r="K8" s="709"/>
      <c r="L8" s="710"/>
      <c r="M8" s="709"/>
      <c r="N8" s="710"/>
      <c r="O8" s="709"/>
      <c r="P8" s="710"/>
      <c r="Q8" s="709"/>
      <c r="R8" s="710"/>
      <c r="S8" s="709"/>
      <c r="T8" s="710"/>
      <c r="U8" s="709"/>
      <c r="V8" s="710"/>
      <c r="W8" s="728"/>
      <c r="X8" s="729"/>
    </row>
    <row r="9" spans="1:38" ht="12.75" customHeight="1" x14ac:dyDescent="0.15"/>
    <row r="10" spans="1:38" ht="13.5" customHeight="1" x14ac:dyDescent="0.15">
      <c r="A10" s="730" t="s">
        <v>204</v>
      </c>
      <c r="B10" s="730"/>
      <c r="C10" s="730"/>
      <c r="D10" s="730"/>
      <c r="E10" s="689" t="s">
        <v>205</v>
      </c>
      <c r="F10" s="689"/>
      <c r="G10" s="689"/>
      <c r="H10" s="730" t="s">
        <v>206</v>
      </c>
      <c r="I10" s="730"/>
      <c r="J10" s="730"/>
      <c r="K10" s="730"/>
      <c r="L10" s="730"/>
      <c r="M10" s="730"/>
      <c r="N10" s="730"/>
      <c r="O10" s="730"/>
      <c r="P10" s="730"/>
      <c r="Q10" s="730"/>
      <c r="R10" s="730"/>
      <c r="S10" s="730"/>
      <c r="T10" s="730"/>
      <c r="U10" s="730"/>
      <c r="V10" s="730"/>
      <c r="W10" s="730"/>
      <c r="X10" s="730"/>
      <c r="AB10" s="332" t="s">
        <v>207</v>
      </c>
      <c r="AC10" s="332" t="s">
        <v>208</v>
      </c>
      <c r="AD10" s="332" t="s">
        <v>417</v>
      </c>
      <c r="AE10" s="332" t="s">
        <v>209</v>
      </c>
      <c r="AF10" s="332" t="s">
        <v>210</v>
      </c>
      <c r="AG10" s="332" t="s">
        <v>211</v>
      </c>
      <c r="AH10" s="332" t="s">
        <v>212</v>
      </c>
      <c r="AI10" s="332" t="s">
        <v>213</v>
      </c>
      <c r="AJ10" s="332" t="s">
        <v>214</v>
      </c>
      <c r="AK10" s="332" t="s">
        <v>215</v>
      </c>
    </row>
    <row r="11" spans="1:38" ht="13.5" customHeight="1" x14ac:dyDescent="0.15">
      <c r="A11" s="730"/>
      <c r="B11" s="730"/>
      <c r="C11" s="730"/>
      <c r="D11" s="730"/>
      <c r="E11" s="689"/>
      <c r="F11" s="689"/>
      <c r="G11" s="689"/>
      <c r="H11" s="730"/>
      <c r="I11" s="730"/>
      <c r="J11" s="730"/>
      <c r="K11" s="730"/>
      <c r="L11" s="730"/>
      <c r="M11" s="730"/>
      <c r="N11" s="730"/>
      <c r="O11" s="730"/>
      <c r="P11" s="730"/>
      <c r="Q11" s="730"/>
      <c r="R11" s="730"/>
      <c r="S11" s="730"/>
      <c r="T11" s="730"/>
      <c r="U11" s="730"/>
      <c r="V11" s="730"/>
      <c r="W11" s="730"/>
      <c r="X11" s="730"/>
      <c r="AB11" s="332">
        <f>AE11*AJ11</f>
        <v>52</v>
      </c>
      <c r="AC11" s="332">
        <v>6</v>
      </c>
      <c r="AD11" s="332">
        <v>3</v>
      </c>
      <c r="AE11" s="332">
        <v>13</v>
      </c>
      <c r="AF11" s="332">
        <v>3</v>
      </c>
      <c r="AG11" s="332">
        <f>AD11*AE11</f>
        <v>39</v>
      </c>
      <c r="AH11" s="332">
        <f>AF11+AG11</f>
        <v>42</v>
      </c>
      <c r="AI11" s="332">
        <f>AC11*AH11</f>
        <v>252</v>
      </c>
      <c r="AJ11" s="332">
        <v>4</v>
      </c>
      <c r="AK11" s="332">
        <f>AI11*AJ11</f>
        <v>1008</v>
      </c>
      <c r="AL11" s="332">
        <v>1000</v>
      </c>
    </row>
    <row r="12" spans="1:38" ht="27.75" customHeight="1" x14ac:dyDescent="0.15">
      <c r="A12" s="731" t="s">
        <v>216</v>
      </c>
      <c r="B12" s="689" t="s">
        <v>236</v>
      </c>
      <c r="C12" s="689"/>
      <c r="D12" s="689"/>
      <c r="E12" s="690">
        <f>ピーマン積算根拠!M8</f>
        <v>7992</v>
      </c>
      <c r="F12" s="690"/>
      <c r="G12" s="690"/>
      <c r="H12" s="688" t="s">
        <v>418</v>
      </c>
      <c r="I12" s="688"/>
      <c r="J12" s="688"/>
      <c r="K12" s="688"/>
      <c r="L12" s="688"/>
      <c r="M12" s="688"/>
      <c r="N12" s="688"/>
      <c r="O12" s="688"/>
      <c r="P12" s="688"/>
      <c r="Q12" s="688"/>
      <c r="R12" s="688"/>
      <c r="S12" s="688"/>
      <c r="T12" s="688"/>
      <c r="U12" s="688"/>
      <c r="V12" s="688"/>
      <c r="W12" s="688"/>
      <c r="X12" s="688"/>
    </row>
    <row r="13" spans="1:38" ht="27.75" customHeight="1" x14ac:dyDescent="0.15">
      <c r="A13" s="732"/>
      <c r="B13" s="689" t="s">
        <v>217</v>
      </c>
      <c r="C13" s="689"/>
      <c r="D13" s="689"/>
      <c r="E13" s="690">
        <f>ピーマン積算根拠!M24</f>
        <v>93231</v>
      </c>
      <c r="F13" s="690"/>
      <c r="G13" s="690"/>
      <c r="H13" s="688" t="s">
        <v>261</v>
      </c>
      <c r="I13" s="688"/>
      <c r="J13" s="688"/>
      <c r="K13" s="688"/>
      <c r="L13" s="688"/>
      <c r="M13" s="688"/>
      <c r="N13" s="688"/>
      <c r="O13" s="688"/>
      <c r="P13" s="688"/>
      <c r="Q13" s="688"/>
      <c r="R13" s="688"/>
      <c r="S13" s="688"/>
      <c r="T13" s="688"/>
      <c r="U13" s="688"/>
      <c r="V13" s="688"/>
      <c r="W13" s="688"/>
      <c r="X13" s="688"/>
    </row>
    <row r="14" spans="1:38" ht="27.75" customHeight="1" x14ac:dyDescent="0.15">
      <c r="A14" s="732"/>
      <c r="B14" s="689" t="s">
        <v>218</v>
      </c>
      <c r="C14" s="689"/>
      <c r="D14" s="689"/>
      <c r="E14" s="690">
        <f>ピーマン積算根拠!M37</f>
        <v>31968</v>
      </c>
      <c r="F14" s="690"/>
      <c r="G14" s="690"/>
      <c r="H14" s="688" t="s">
        <v>262</v>
      </c>
      <c r="I14" s="688"/>
      <c r="J14" s="688"/>
      <c r="K14" s="688"/>
      <c r="L14" s="688"/>
      <c r="M14" s="688"/>
      <c r="N14" s="688"/>
      <c r="O14" s="688"/>
      <c r="P14" s="688"/>
      <c r="Q14" s="688"/>
      <c r="R14" s="688"/>
      <c r="S14" s="688"/>
      <c r="T14" s="688"/>
      <c r="U14" s="688"/>
      <c r="V14" s="688"/>
      <c r="W14" s="688"/>
      <c r="X14" s="688"/>
      <c r="AB14" s="332">
        <f>AE14*AJ14</f>
        <v>10</v>
      </c>
      <c r="AC14" s="332">
        <v>6</v>
      </c>
      <c r="AD14" s="332">
        <v>4</v>
      </c>
      <c r="AE14" s="332">
        <v>10</v>
      </c>
      <c r="AF14" s="332">
        <v>-1</v>
      </c>
      <c r="AG14" s="332">
        <f>AD14*AE14</f>
        <v>40</v>
      </c>
      <c r="AH14" s="332">
        <f>AF14+AG14</f>
        <v>39</v>
      </c>
      <c r="AI14" s="332">
        <f>AC14*AH14</f>
        <v>234</v>
      </c>
      <c r="AJ14" s="332">
        <v>1</v>
      </c>
      <c r="AK14" s="332">
        <f>AI14*AJ14</f>
        <v>234</v>
      </c>
      <c r="AL14" s="332">
        <v>1000</v>
      </c>
    </row>
    <row r="15" spans="1:38" ht="27.75" customHeight="1" x14ac:dyDescent="0.15">
      <c r="A15" s="732"/>
      <c r="B15" s="689" t="s">
        <v>219</v>
      </c>
      <c r="C15" s="689"/>
      <c r="D15" s="689"/>
      <c r="E15" s="690">
        <f>ピーマン積算根拠!M48</f>
        <v>21450</v>
      </c>
      <c r="F15" s="690"/>
      <c r="G15" s="690"/>
      <c r="H15" s="688" t="s">
        <v>263</v>
      </c>
      <c r="I15" s="688"/>
      <c r="J15" s="688"/>
      <c r="K15" s="688"/>
      <c r="L15" s="688"/>
      <c r="M15" s="688"/>
      <c r="N15" s="688"/>
      <c r="O15" s="688"/>
      <c r="P15" s="688"/>
      <c r="Q15" s="688"/>
      <c r="R15" s="688"/>
      <c r="S15" s="688"/>
      <c r="T15" s="688"/>
      <c r="U15" s="688"/>
      <c r="V15" s="688"/>
      <c r="W15" s="688"/>
      <c r="X15" s="688"/>
      <c r="AB15" s="332">
        <v>9</v>
      </c>
    </row>
    <row r="16" spans="1:38" ht="27.75" customHeight="1" x14ac:dyDescent="0.15">
      <c r="A16" s="732"/>
      <c r="B16" s="689" t="s">
        <v>220</v>
      </c>
      <c r="C16" s="689"/>
      <c r="D16" s="689"/>
      <c r="E16" s="734">
        <f>H16</f>
        <v>31044</v>
      </c>
      <c r="F16" s="735"/>
      <c r="G16" s="736"/>
      <c r="H16" s="737">
        <v>31044</v>
      </c>
      <c r="I16" s="738"/>
      <c r="J16" s="738"/>
      <c r="K16" s="738"/>
      <c r="L16" s="738"/>
      <c r="M16" s="738"/>
      <c r="N16" s="738"/>
      <c r="O16" s="738"/>
      <c r="P16" s="738"/>
      <c r="Q16" s="738"/>
      <c r="R16" s="738"/>
      <c r="S16" s="738"/>
      <c r="T16" s="738"/>
      <c r="U16" s="738"/>
      <c r="V16" s="738"/>
      <c r="W16" s="738"/>
      <c r="X16" s="738"/>
      <c r="Y16" s="335"/>
      <c r="Z16" s="335"/>
      <c r="AA16" s="336"/>
    </row>
    <row r="17" spans="1:31" ht="27.75" customHeight="1" x14ac:dyDescent="0.15">
      <c r="A17" s="732"/>
      <c r="B17" s="689" t="s">
        <v>221</v>
      </c>
      <c r="C17" s="689"/>
      <c r="D17" s="689"/>
      <c r="E17" s="690">
        <f>ピーマン積算根拠!M65</f>
        <v>95148</v>
      </c>
      <c r="F17" s="690"/>
      <c r="G17" s="690"/>
      <c r="H17" s="688" t="s">
        <v>419</v>
      </c>
      <c r="I17" s="688"/>
      <c r="J17" s="688"/>
      <c r="K17" s="688"/>
      <c r="L17" s="688"/>
      <c r="M17" s="688"/>
      <c r="N17" s="688"/>
      <c r="O17" s="688"/>
      <c r="P17" s="688"/>
      <c r="Q17" s="688"/>
      <c r="R17" s="688"/>
      <c r="S17" s="688"/>
      <c r="T17" s="688"/>
      <c r="U17" s="688"/>
      <c r="V17" s="688"/>
      <c r="W17" s="688"/>
      <c r="X17" s="688"/>
    </row>
    <row r="18" spans="1:31" ht="27.75" customHeight="1" x14ac:dyDescent="0.15">
      <c r="A18" s="732"/>
      <c r="B18" s="689" t="s">
        <v>222</v>
      </c>
      <c r="C18" s="689"/>
      <c r="D18" s="689"/>
      <c r="E18" s="690">
        <f>ピーマン積算根拠!K81</f>
        <v>29700</v>
      </c>
      <c r="F18" s="690"/>
      <c r="G18" s="690"/>
      <c r="H18" s="688" t="s">
        <v>260</v>
      </c>
      <c r="I18" s="688"/>
      <c r="J18" s="688"/>
      <c r="K18" s="688"/>
      <c r="L18" s="688"/>
      <c r="M18" s="688"/>
      <c r="N18" s="688"/>
      <c r="O18" s="688"/>
      <c r="P18" s="688"/>
      <c r="Q18" s="688"/>
      <c r="R18" s="688"/>
      <c r="S18" s="688"/>
      <c r="T18" s="688"/>
      <c r="U18" s="688"/>
      <c r="V18" s="688"/>
      <c r="W18" s="688"/>
      <c r="X18" s="688"/>
    </row>
    <row r="19" spans="1:31" ht="27.75" customHeight="1" x14ac:dyDescent="0.15">
      <c r="A19" s="732"/>
      <c r="B19" s="689" t="s">
        <v>223</v>
      </c>
      <c r="C19" s="689"/>
      <c r="D19" s="689"/>
      <c r="E19" s="690">
        <f>ﾘｰｽ料算定表!D25*1000</f>
        <v>293000</v>
      </c>
      <c r="F19" s="690"/>
      <c r="G19" s="690"/>
      <c r="H19" s="742">
        <v>292000</v>
      </c>
      <c r="I19" s="742"/>
      <c r="J19" s="742"/>
      <c r="K19" s="742"/>
      <c r="L19" s="742"/>
      <c r="M19" s="742"/>
      <c r="N19" s="742"/>
      <c r="O19" s="742"/>
      <c r="P19" s="742"/>
      <c r="Q19" s="742"/>
      <c r="R19" s="742"/>
      <c r="S19" s="742"/>
      <c r="T19" s="742"/>
      <c r="U19" s="742"/>
      <c r="V19" s="742"/>
      <c r="W19" s="742"/>
      <c r="X19" s="742"/>
      <c r="AA19" s="332" t="s">
        <v>208</v>
      </c>
      <c r="AB19" s="332" t="s">
        <v>420</v>
      </c>
      <c r="AC19" s="332" t="s">
        <v>224</v>
      </c>
      <c r="AD19" s="332" t="s">
        <v>225</v>
      </c>
      <c r="AE19" s="332" t="s">
        <v>213</v>
      </c>
    </row>
    <row r="20" spans="1:31" ht="27.75" customHeight="1" x14ac:dyDescent="0.15">
      <c r="A20" s="733"/>
      <c r="B20" s="689" t="s">
        <v>226</v>
      </c>
      <c r="C20" s="689"/>
      <c r="D20" s="689"/>
      <c r="E20" s="690">
        <f>((ピーマン積算根拠!K92))</f>
        <v>11250</v>
      </c>
      <c r="F20" s="690"/>
      <c r="G20" s="690"/>
      <c r="H20" s="743" t="s">
        <v>421</v>
      </c>
      <c r="I20" s="744"/>
      <c r="J20" s="744"/>
      <c r="K20" s="744"/>
      <c r="L20" s="744"/>
      <c r="M20" s="744"/>
      <c r="N20" s="745"/>
      <c r="O20" s="745"/>
      <c r="P20" s="745"/>
      <c r="Q20" s="745"/>
      <c r="R20" s="745"/>
      <c r="S20" s="745"/>
      <c r="T20" s="745"/>
      <c r="U20" s="745"/>
      <c r="V20" s="745"/>
      <c r="W20" s="745"/>
      <c r="X20" s="746"/>
    </row>
    <row r="21" spans="1:31" ht="27.75" customHeight="1" x14ac:dyDescent="0.15">
      <c r="A21" s="689" t="s">
        <v>0</v>
      </c>
      <c r="B21" s="689"/>
      <c r="C21" s="689"/>
      <c r="D21" s="689"/>
      <c r="E21" s="690">
        <f>SUM(E12:G20)</f>
        <v>614783</v>
      </c>
      <c r="F21" s="690"/>
      <c r="G21" s="690"/>
      <c r="H21" s="688"/>
      <c r="I21" s="688"/>
      <c r="J21" s="688"/>
      <c r="K21" s="688"/>
      <c r="L21" s="688"/>
      <c r="M21" s="688"/>
      <c r="N21" s="688"/>
      <c r="O21" s="688"/>
      <c r="P21" s="688"/>
      <c r="Q21" s="688"/>
      <c r="R21" s="688"/>
      <c r="S21" s="688"/>
      <c r="T21" s="688"/>
      <c r="U21" s="688"/>
      <c r="V21" s="688"/>
      <c r="W21" s="688"/>
      <c r="X21" s="688"/>
    </row>
    <row r="22" spans="1:31" ht="27.75" customHeight="1" x14ac:dyDescent="0.15">
      <c r="A22" s="689" t="s">
        <v>199</v>
      </c>
      <c r="B22" s="689"/>
      <c r="C22" s="689"/>
      <c r="D22" s="689"/>
      <c r="E22" s="690">
        <f>G5*11.5%</f>
        <v>302622.5</v>
      </c>
      <c r="F22" s="690"/>
      <c r="G22" s="690"/>
      <c r="H22" s="747">
        <f>G5*11.5%</f>
        <v>302622.5</v>
      </c>
      <c r="I22" s="747"/>
      <c r="J22" s="747"/>
      <c r="K22" s="747"/>
      <c r="L22" s="747"/>
      <c r="M22" s="747"/>
      <c r="N22" s="747"/>
      <c r="O22" s="747"/>
      <c r="P22" s="747"/>
      <c r="Q22" s="747"/>
      <c r="R22" s="747"/>
      <c r="S22" s="747"/>
      <c r="T22" s="747"/>
      <c r="U22" s="747"/>
      <c r="V22" s="747"/>
      <c r="W22" s="747"/>
      <c r="X22" s="747"/>
    </row>
    <row r="23" spans="1:31" ht="27.75" customHeight="1" x14ac:dyDescent="0.15">
      <c r="A23" s="689" t="s">
        <v>1</v>
      </c>
      <c r="B23" s="689"/>
      <c r="C23" s="689"/>
      <c r="D23" s="689"/>
      <c r="E23" s="690">
        <f>C5*15</f>
        <v>142500</v>
      </c>
      <c r="F23" s="690"/>
      <c r="G23" s="690"/>
      <c r="H23" s="740">
        <f>C5*15</f>
        <v>142500</v>
      </c>
      <c r="I23" s="740"/>
      <c r="J23" s="740"/>
      <c r="K23" s="740"/>
      <c r="L23" s="740"/>
      <c r="M23" s="740"/>
      <c r="N23" s="740"/>
      <c r="O23" s="740"/>
      <c r="P23" s="740"/>
      <c r="Q23" s="740"/>
      <c r="R23" s="740"/>
      <c r="S23" s="740"/>
      <c r="T23" s="740"/>
      <c r="U23" s="740"/>
      <c r="V23" s="740"/>
      <c r="W23" s="740"/>
      <c r="X23" s="740"/>
    </row>
    <row r="24" spans="1:31" ht="27.75" customHeight="1" x14ac:dyDescent="0.15">
      <c r="A24" s="689" t="s">
        <v>201</v>
      </c>
      <c r="B24" s="689"/>
      <c r="C24" s="689"/>
      <c r="D24" s="689"/>
      <c r="E24" s="690">
        <f>H24</f>
        <v>85500</v>
      </c>
      <c r="F24" s="690"/>
      <c r="G24" s="690"/>
      <c r="H24" s="741">
        <f>C5*9%*100</f>
        <v>85500</v>
      </c>
      <c r="I24" s="741"/>
      <c r="J24" s="741"/>
      <c r="K24" s="741"/>
      <c r="L24" s="741"/>
      <c r="M24" s="741"/>
      <c r="N24" s="741"/>
      <c r="O24" s="741"/>
      <c r="P24" s="741"/>
      <c r="Q24" s="741"/>
      <c r="R24" s="741"/>
      <c r="S24" s="741"/>
      <c r="T24" s="741"/>
      <c r="U24" s="741"/>
      <c r="V24" s="741"/>
      <c r="W24" s="741"/>
      <c r="X24" s="741"/>
    </row>
    <row r="25" spans="1:31" ht="27.75" customHeight="1" x14ac:dyDescent="0.15">
      <c r="A25" s="689" t="s">
        <v>202</v>
      </c>
      <c r="B25" s="689"/>
      <c r="C25" s="689"/>
      <c r="D25" s="689"/>
      <c r="E25" s="690">
        <f>ピーマン積算根拠!M103</f>
        <v>142500</v>
      </c>
      <c r="F25" s="690"/>
      <c r="G25" s="690"/>
      <c r="H25" s="688" t="s">
        <v>422</v>
      </c>
      <c r="I25" s="688"/>
      <c r="J25" s="688"/>
      <c r="K25" s="688"/>
      <c r="L25" s="688"/>
      <c r="M25" s="688"/>
      <c r="N25" s="688"/>
      <c r="O25" s="688"/>
      <c r="P25" s="688"/>
      <c r="Q25" s="688"/>
      <c r="R25" s="688"/>
      <c r="S25" s="688"/>
      <c r="T25" s="688"/>
      <c r="U25" s="688"/>
      <c r="V25" s="688"/>
      <c r="W25" s="688"/>
      <c r="X25" s="688"/>
    </row>
    <row r="26" spans="1:31" ht="27.75" customHeight="1" x14ac:dyDescent="0.15">
      <c r="A26" s="689" t="s">
        <v>2</v>
      </c>
      <c r="B26" s="689"/>
      <c r="C26" s="689"/>
      <c r="D26" s="689"/>
      <c r="E26" s="690">
        <f>SUM(E21:G25)</f>
        <v>1287905.5</v>
      </c>
      <c r="F26" s="690"/>
      <c r="G26" s="690"/>
      <c r="H26" s="739"/>
      <c r="I26" s="739"/>
      <c r="J26" s="739"/>
      <c r="K26" s="739"/>
      <c r="L26" s="739"/>
      <c r="M26" s="739"/>
      <c r="N26" s="739"/>
      <c r="O26" s="739"/>
      <c r="P26" s="739"/>
      <c r="Q26" s="739"/>
      <c r="R26" s="739"/>
      <c r="S26" s="739"/>
      <c r="T26" s="739"/>
      <c r="U26" s="739"/>
      <c r="V26" s="739"/>
      <c r="W26" s="739"/>
      <c r="X26" s="739"/>
    </row>
    <row r="27" spans="1:31" ht="18" customHeight="1" x14ac:dyDescent="0.15"/>
  </sheetData>
  <mergeCells count="76">
    <mergeCell ref="A21:D21"/>
    <mergeCell ref="E21:G21"/>
    <mergeCell ref="H21:X21"/>
    <mergeCell ref="A22:D22"/>
    <mergeCell ref="H19:X19"/>
    <mergeCell ref="E20:G20"/>
    <mergeCell ref="H20:M20"/>
    <mergeCell ref="N20:X20"/>
    <mergeCell ref="H22:X22"/>
    <mergeCell ref="E22:G22"/>
    <mergeCell ref="A26:D26"/>
    <mergeCell ref="E26:G26"/>
    <mergeCell ref="H26:X26"/>
    <mergeCell ref="A23:D23"/>
    <mergeCell ref="E23:G23"/>
    <mergeCell ref="H23:X23"/>
    <mergeCell ref="A24:D24"/>
    <mergeCell ref="E24:G24"/>
    <mergeCell ref="H24:X24"/>
    <mergeCell ref="A25:D25"/>
    <mergeCell ref="E25:G25"/>
    <mergeCell ref="H25:X25"/>
    <mergeCell ref="H16:X16"/>
    <mergeCell ref="B18:D18"/>
    <mergeCell ref="E18:G18"/>
    <mergeCell ref="H17:X17"/>
    <mergeCell ref="B17:D17"/>
    <mergeCell ref="E17:G17"/>
    <mergeCell ref="H18:X18"/>
    <mergeCell ref="E13:G13"/>
    <mergeCell ref="B20:D20"/>
    <mergeCell ref="E19:G19"/>
    <mergeCell ref="B16:D16"/>
    <mergeCell ref="E16:G16"/>
    <mergeCell ref="B19:D19"/>
    <mergeCell ref="H13:X13"/>
    <mergeCell ref="B12:D12"/>
    <mergeCell ref="E12:G12"/>
    <mergeCell ref="H12:X12"/>
    <mergeCell ref="W5:X8"/>
    <mergeCell ref="I5:J8"/>
    <mergeCell ref="K5:L8"/>
    <mergeCell ref="M5:N8"/>
    <mergeCell ref="O5:P8"/>
    <mergeCell ref="H10:X11"/>
    <mergeCell ref="A10:D11"/>
    <mergeCell ref="E10:G11"/>
    <mergeCell ref="A12:A20"/>
    <mergeCell ref="B14:D14"/>
    <mergeCell ref="E14:G14"/>
    <mergeCell ref="B13:D13"/>
    <mergeCell ref="S5:T8"/>
    <mergeCell ref="U5:V8"/>
    <mergeCell ref="I3:T3"/>
    <mergeCell ref="G1:P2"/>
    <mergeCell ref="A3:B4"/>
    <mergeCell ref="C3:D4"/>
    <mergeCell ref="E3:F4"/>
    <mergeCell ref="G3:H4"/>
    <mergeCell ref="M4:N4"/>
    <mergeCell ref="H14:X14"/>
    <mergeCell ref="B15:D15"/>
    <mergeCell ref="E15:G15"/>
    <mergeCell ref="H15:X15"/>
    <mergeCell ref="O4:P4"/>
    <mergeCell ref="W3:X4"/>
    <mergeCell ref="I4:J4"/>
    <mergeCell ref="K4:L4"/>
    <mergeCell ref="Q4:R4"/>
    <mergeCell ref="S4:T4"/>
    <mergeCell ref="U3:V4"/>
    <mergeCell ref="A5:B8"/>
    <mergeCell ref="C5:D8"/>
    <mergeCell ref="E5:F8"/>
    <mergeCell ref="G5:H8"/>
    <mergeCell ref="Q5:R8"/>
  </mergeCells>
  <phoneticPr fontId="14"/>
  <printOptions horizontalCentered="1" verticalCentered="1"/>
  <pageMargins left="0.59055118110236227" right="0.47244094488188981" top="0.59055118110236227" bottom="0.59055118110236227" header="0.51181102362204722" footer="0.51181102362204722"/>
  <pageSetup paperSize="9" scale="96" firstPageNumber="6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H24"/>
  <sheetViews>
    <sheetView view="pageBreakPreview" zoomScale="85" zoomScaleNormal="100" zoomScaleSheetLayoutView="115" workbookViewId="0">
      <selection activeCell="B12" sqref="B12:F12"/>
    </sheetView>
  </sheetViews>
  <sheetFormatPr defaultRowHeight="13.5" x14ac:dyDescent="0.15"/>
  <cols>
    <col min="1" max="7" width="19.5" style="311" customWidth="1"/>
    <col min="8" max="8" width="12.125" style="311" customWidth="1"/>
    <col min="9" max="13" width="11" style="311" customWidth="1"/>
    <col min="14" max="16384" width="9" style="311"/>
  </cols>
  <sheetData>
    <row r="1" spans="1:8" ht="17.25" x14ac:dyDescent="0.15">
      <c r="A1" s="310" t="s">
        <v>318</v>
      </c>
    </row>
    <row r="3" spans="1:8" s="312" customFormat="1" ht="27.75" customHeight="1" x14ac:dyDescent="0.15">
      <c r="A3" s="310" t="s">
        <v>316</v>
      </c>
    </row>
    <row r="4" spans="1:8" s="312" customFormat="1" ht="22.5" customHeight="1" x14ac:dyDescent="0.15">
      <c r="A4" s="313"/>
      <c r="B4" s="447" t="s">
        <v>479</v>
      </c>
      <c r="C4" s="447" t="s">
        <v>480</v>
      </c>
      <c r="D4" s="447" t="s">
        <v>481</v>
      </c>
      <c r="E4" s="447" t="s">
        <v>482</v>
      </c>
      <c r="F4" s="447" t="s">
        <v>483</v>
      </c>
      <c r="G4" s="314" t="s">
        <v>79</v>
      </c>
    </row>
    <row r="5" spans="1:8" s="312" customFormat="1" ht="22.5" customHeight="1" x14ac:dyDescent="0.15">
      <c r="A5" s="315" t="s">
        <v>246</v>
      </c>
      <c r="B5" s="316">
        <v>871862</v>
      </c>
      <c r="C5" s="317">
        <v>950913.5</v>
      </c>
      <c r="D5" s="317">
        <v>918249</v>
      </c>
      <c r="E5" s="317">
        <v>991288</v>
      </c>
      <c r="F5" s="318">
        <v>949135</v>
      </c>
      <c r="G5" s="318">
        <f>SUM(B5:F5)</f>
        <v>4681447.5</v>
      </c>
    </row>
    <row r="6" spans="1:8" s="312" customFormat="1" ht="22.5" customHeight="1" x14ac:dyDescent="0.15">
      <c r="A6" s="315" t="s">
        <v>247</v>
      </c>
      <c r="B6" s="319">
        <v>204645281</v>
      </c>
      <c r="C6" s="319">
        <v>226127973</v>
      </c>
      <c r="D6" s="319">
        <v>207008139</v>
      </c>
      <c r="E6" s="318">
        <v>240187992</v>
      </c>
      <c r="F6" s="320">
        <v>253675482</v>
      </c>
      <c r="G6" s="318">
        <f>SUM(B6:F6)</f>
        <v>1131644867</v>
      </c>
    </row>
    <row r="7" spans="1:8" s="312" customFormat="1" ht="22.5" customHeight="1" x14ac:dyDescent="0.15">
      <c r="A7" s="315" t="s">
        <v>251</v>
      </c>
      <c r="B7" s="318">
        <v>115068</v>
      </c>
      <c r="C7" s="318">
        <v>115068</v>
      </c>
      <c r="D7" s="318">
        <v>115068</v>
      </c>
      <c r="E7" s="318">
        <v>115068</v>
      </c>
      <c r="F7" s="318">
        <v>115068</v>
      </c>
      <c r="G7" s="318">
        <v>115068</v>
      </c>
    </row>
    <row r="8" spans="1:8" s="312" customFormat="1" ht="22.5" customHeight="1" x14ac:dyDescent="0.15">
      <c r="A8" s="315" t="s">
        <v>319</v>
      </c>
      <c r="B8" s="318">
        <f>B5/B7*1000</f>
        <v>7576.928424931345</v>
      </c>
      <c r="C8" s="318">
        <f>C5/C7*1000</f>
        <v>8263.9265477804438</v>
      </c>
      <c r="D8" s="318">
        <f>D5/D7*1000</f>
        <v>7980.0552716654502</v>
      </c>
      <c r="E8" s="318">
        <f>E5/E7*1000</f>
        <v>8614.8016824834012</v>
      </c>
      <c r="F8" s="318">
        <f>F5/F7*1000</f>
        <v>8248.4704696353474</v>
      </c>
      <c r="G8" s="321">
        <f>ROUND(AVERAGE(B8:F8),0)</f>
        <v>8137</v>
      </c>
    </row>
    <row r="9" spans="1:8" s="312" customFormat="1" ht="22.5" customHeight="1" x14ac:dyDescent="0.15">
      <c r="A9" s="322" t="s">
        <v>248</v>
      </c>
      <c r="B9" s="323">
        <f t="shared" ref="B9:G9" si="0">B6/B5</f>
        <v>234.72210166287783</v>
      </c>
      <c r="C9" s="323">
        <f t="shared" si="0"/>
        <v>237.80078103844355</v>
      </c>
      <c r="D9" s="323">
        <f t="shared" si="0"/>
        <v>225.43791389917115</v>
      </c>
      <c r="E9" s="323">
        <f t="shared" si="0"/>
        <v>242.29890001694764</v>
      </c>
      <c r="F9" s="323">
        <f t="shared" si="0"/>
        <v>267.27017968992817</v>
      </c>
      <c r="G9" s="323">
        <f t="shared" si="0"/>
        <v>241.72969300627636</v>
      </c>
      <c r="H9" s="312" t="s">
        <v>284</v>
      </c>
    </row>
    <row r="10" spans="1:8" s="312" customFormat="1" ht="15" customHeight="1" x14ac:dyDescent="0.15">
      <c r="A10" s="324"/>
    </row>
    <row r="11" spans="1:8" s="312" customFormat="1" ht="27.75" customHeight="1" x14ac:dyDescent="0.15">
      <c r="A11" s="310" t="s">
        <v>281</v>
      </c>
    </row>
    <row r="12" spans="1:8" s="312" customFormat="1" ht="22.5" customHeight="1" x14ac:dyDescent="0.15">
      <c r="A12" s="325"/>
      <c r="B12" s="447" t="s">
        <v>479</v>
      </c>
      <c r="C12" s="447" t="s">
        <v>480</v>
      </c>
      <c r="D12" s="447" t="s">
        <v>481</v>
      </c>
      <c r="E12" s="447" t="s">
        <v>482</v>
      </c>
      <c r="F12" s="447" t="s">
        <v>483</v>
      </c>
      <c r="G12" s="314" t="s">
        <v>249</v>
      </c>
    </row>
    <row r="13" spans="1:8" s="312" customFormat="1" ht="22.5" customHeight="1" x14ac:dyDescent="0.15">
      <c r="A13" s="315" t="s">
        <v>250</v>
      </c>
      <c r="B13" s="319">
        <v>70598</v>
      </c>
      <c r="C13" s="319">
        <v>84176</v>
      </c>
      <c r="D13" s="326">
        <v>92273</v>
      </c>
      <c r="E13" s="326">
        <v>107811.09</v>
      </c>
      <c r="F13" s="326">
        <v>102045.12</v>
      </c>
      <c r="G13" s="318">
        <f>AVERAGE(B13:F13)</f>
        <v>91380.641999999993</v>
      </c>
    </row>
    <row r="14" spans="1:8" s="312" customFormat="1" ht="22.5" customHeight="1" x14ac:dyDescent="0.15">
      <c r="A14" s="315" t="s">
        <v>247</v>
      </c>
      <c r="B14" s="319">
        <v>19630004</v>
      </c>
      <c r="C14" s="319">
        <v>22327263</v>
      </c>
      <c r="D14" s="326">
        <v>25074417</v>
      </c>
      <c r="E14" s="326">
        <v>30327933</v>
      </c>
      <c r="F14" s="326">
        <v>31015640</v>
      </c>
      <c r="G14" s="318">
        <f>AVERAGE(B14:F14)</f>
        <v>25675051.399999999</v>
      </c>
    </row>
    <row r="15" spans="1:8" s="312" customFormat="1" ht="22.5" customHeight="1" x14ac:dyDescent="0.15">
      <c r="A15" s="315" t="s">
        <v>251</v>
      </c>
      <c r="B15" s="318">
        <v>9500</v>
      </c>
      <c r="C15" s="318">
        <v>9500</v>
      </c>
      <c r="D15" s="318">
        <v>9500</v>
      </c>
      <c r="E15" s="318">
        <v>9500</v>
      </c>
      <c r="F15" s="318">
        <v>9500</v>
      </c>
      <c r="G15" s="318">
        <f>AVERAGE(B15:F15)</f>
        <v>9500</v>
      </c>
    </row>
    <row r="16" spans="1:8" s="312" customFormat="1" ht="22.5" customHeight="1" x14ac:dyDescent="0.15">
      <c r="A16" s="315" t="s">
        <v>319</v>
      </c>
      <c r="B16" s="318">
        <f t="shared" ref="B16:G16" si="1">B13/B15*1000</f>
        <v>7431.3684210526317</v>
      </c>
      <c r="C16" s="318">
        <f t="shared" si="1"/>
        <v>8860.6315789473683</v>
      </c>
      <c r="D16" s="318">
        <f t="shared" si="1"/>
        <v>9712.9473684210534</v>
      </c>
      <c r="E16" s="318">
        <f t="shared" si="1"/>
        <v>11348.535789473684</v>
      </c>
      <c r="F16" s="318">
        <f t="shared" si="1"/>
        <v>10741.591578947367</v>
      </c>
      <c r="G16" s="321">
        <f t="shared" si="1"/>
        <v>9619.0149473684196</v>
      </c>
      <c r="H16" s="312" t="s">
        <v>284</v>
      </c>
    </row>
    <row r="17" spans="1:7" s="312" customFormat="1" ht="22.5" customHeight="1" x14ac:dyDescent="0.15">
      <c r="A17" s="322" t="s">
        <v>248</v>
      </c>
      <c r="B17" s="323">
        <f t="shared" ref="B17:G17" si="2">B14/B13</f>
        <v>278.05325929913027</v>
      </c>
      <c r="C17" s="323">
        <f t="shared" si="2"/>
        <v>265.24499857441549</v>
      </c>
      <c r="D17" s="323">
        <f t="shared" si="2"/>
        <v>271.74164706902343</v>
      </c>
      <c r="E17" s="323">
        <f t="shared" si="2"/>
        <v>281.30624595299054</v>
      </c>
      <c r="F17" s="323">
        <f t="shared" si="2"/>
        <v>303.94045300745398</v>
      </c>
      <c r="G17" s="323">
        <f t="shared" si="2"/>
        <v>280.96816610240057</v>
      </c>
    </row>
    <row r="18" spans="1:7" ht="15" customHeight="1" x14ac:dyDescent="0.15">
      <c r="A18" s="327"/>
      <c r="B18" s="328"/>
      <c r="C18" s="328"/>
      <c r="D18" s="328"/>
      <c r="E18" s="328"/>
    </row>
    <row r="19" spans="1:7" ht="27.75" customHeight="1" x14ac:dyDescent="0.15">
      <c r="A19" s="329" t="s">
        <v>317</v>
      </c>
      <c r="B19" s="328"/>
      <c r="C19" s="328"/>
      <c r="D19" s="328"/>
      <c r="E19" s="328"/>
    </row>
    <row r="20" spans="1:7" ht="22.5" customHeight="1" x14ac:dyDescent="0.15">
      <c r="A20" s="325"/>
      <c r="B20" s="330" t="s">
        <v>252</v>
      </c>
      <c r="C20" s="330" t="s">
        <v>253</v>
      </c>
      <c r="D20" s="748" t="s">
        <v>254</v>
      </c>
      <c r="E20" s="748"/>
      <c r="F20" s="748"/>
      <c r="G20" s="748"/>
    </row>
    <row r="21" spans="1:7" ht="22.5" customHeight="1" x14ac:dyDescent="0.15">
      <c r="A21" s="315" t="s">
        <v>319</v>
      </c>
      <c r="B21" s="318">
        <f>SUM(LARGE(B8:F8,2),LARGE(B8:F8,3),LARGE(B8:F8,4))/3</f>
        <v>8164.1507630270798</v>
      </c>
      <c r="C21" s="318">
        <f>SUM(LARGE(B16:F16,2),LARGE(B16:F16,3),LARGE(B16:F16,4))/3</f>
        <v>9771.7235087719291</v>
      </c>
      <c r="D21" s="749" t="s">
        <v>320</v>
      </c>
      <c r="E21" s="749"/>
      <c r="F21" s="749"/>
      <c r="G21" s="749"/>
    </row>
    <row r="22" spans="1:7" ht="22.5" customHeight="1" x14ac:dyDescent="0.15">
      <c r="A22" s="315" t="s">
        <v>248</v>
      </c>
      <c r="B22" s="318">
        <f>SUM(LARGE(B9:F9,2),LARGE(B9:F9,3),LARGE(B9:F9,4))/3</f>
        <v>238.27392757275638</v>
      </c>
      <c r="C22" s="318">
        <f>SUM(LARGE(B17:F17,2),LARGE(B17:F17,3),LARGE(B17:F17,4))/3</f>
        <v>277.03371744038139</v>
      </c>
      <c r="D22" s="749" t="s">
        <v>321</v>
      </c>
      <c r="E22" s="749"/>
      <c r="F22" s="749"/>
      <c r="G22" s="749"/>
    </row>
    <row r="23" spans="1:7" ht="13.5" customHeight="1" x14ac:dyDescent="0.15">
      <c r="A23" s="327"/>
      <c r="B23" s="328"/>
      <c r="C23" s="328"/>
      <c r="D23" s="328"/>
      <c r="E23" s="328"/>
    </row>
    <row r="24" spans="1:7" s="312" customFormat="1" ht="16.5" customHeight="1" x14ac:dyDescent="0.15">
      <c r="C24" s="331"/>
    </row>
  </sheetData>
  <mergeCells count="3">
    <mergeCell ref="D20:G20"/>
    <mergeCell ref="D21:G21"/>
    <mergeCell ref="D22:G22"/>
  </mergeCells>
  <phoneticPr fontId="12"/>
  <printOptions horizont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indexed="13"/>
  </sheetPr>
  <dimension ref="A1:N111"/>
  <sheetViews>
    <sheetView view="pageBreakPreview" zoomScale="85" zoomScaleNormal="85" zoomScaleSheetLayoutView="85" workbookViewId="0">
      <selection activeCell="K78" sqref="K78"/>
    </sheetView>
  </sheetViews>
  <sheetFormatPr defaultRowHeight="14.25" x14ac:dyDescent="0.15"/>
  <cols>
    <col min="1" max="1" width="9" style="189"/>
    <col min="2" max="2" width="3.75" style="189" customWidth="1"/>
    <col min="3" max="3" width="22.5" style="189" customWidth="1"/>
    <col min="4" max="4" width="3.625" style="189" customWidth="1"/>
    <col min="5" max="5" width="12.625" style="189" customWidth="1"/>
    <col min="6" max="6" width="3.625" style="189" customWidth="1"/>
    <col min="7" max="7" width="12.625" style="189" customWidth="1"/>
    <col min="8" max="8" width="4.625" style="190" customWidth="1"/>
    <col min="9" max="9" width="12.625" style="189" customWidth="1"/>
    <col min="10" max="10" width="4.625" style="190" customWidth="1"/>
    <col min="11" max="11" width="12.625" style="189" customWidth="1"/>
    <col min="12" max="12" width="4.625" style="190" customWidth="1"/>
    <col min="13" max="13" width="12.625" style="189" customWidth="1"/>
    <col min="14" max="14" width="3.375" style="189" customWidth="1"/>
    <col min="15" max="16384" width="9" style="189"/>
  </cols>
  <sheetData>
    <row r="1" spans="1:14" x14ac:dyDescent="0.15">
      <c r="A1" s="189" t="s">
        <v>266</v>
      </c>
    </row>
    <row r="2" spans="1:14" ht="6.75" customHeight="1" x14ac:dyDescent="0.15"/>
    <row r="3" spans="1:14" ht="23.25" customHeight="1" x14ac:dyDescent="0.15">
      <c r="A3" s="191"/>
      <c r="B3" s="755" t="s">
        <v>73</v>
      </c>
      <c r="C3" s="756"/>
      <c r="D3" s="757"/>
      <c r="E3" s="192" t="s">
        <v>74</v>
      </c>
      <c r="F3" s="755" t="s">
        <v>75</v>
      </c>
      <c r="G3" s="756"/>
      <c r="H3" s="756"/>
      <c r="I3" s="756"/>
      <c r="J3" s="756"/>
      <c r="K3" s="756"/>
      <c r="L3" s="756"/>
      <c r="M3" s="756"/>
      <c r="N3" s="757"/>
    </row>
    <row r="4" spans="1:14" ht="23.25" customHeight="1" x14ac:dyDescent="0.15">
      <c r="A4" s="750" t="s">
        <v>233</v>
      </c>
      <c r="B4" s="193"/>
      <c r="C4" s="194"/>
      <c r="D4" s="195"/>
      <c r="E4" s="196"/>
      <c r="F4" s="193"/>
      <c r="G4" s="197" t="s">
        <v>324</v>
      </c>
      <c r="H4" s="198"/>
      <c r="I4" s="198" t="s">
        <v>77</v>
      </c>
      <c r="J4" s="198"/>
      <c r="K4" s="198" t="s">
        <v>90</v>
      </c>
      <c r="L4" s="198"/>
      <c r="M4" s="198" t="s">
        <v>78</v>
      </c>
      <c r="N4" s="199"/>
    </row>
    <row r="5" spans="1:14" ht="23.25" customHeight="1" thickBot="1" x14ac:dyDescent="0.2">
      <c r="A5" s="751"/>
      <c r="B5" s="201"/>
      <c r="C5" s="202" t="s">
        <v>380</v>
      </c>
      <c r="D5" s="203"/>
      <c r="E5" s="204">
        <v>2</v>
      </c>
      <c r="F5" s="205"/>
      <c r="G5" s="206">
        <v>3700</v>
      </c>
      <c r="H5" s="207" t="s">
        <v>381</v>
      </c>
      <c r="I5" s="208">
        <v>1</v>
      </c>
      <c r="J5" s="209" t="s">
        <v>382</v>
      </c>
      <c r="K5" s="208">
        <f>E5</f>
        <v>2</v>
      </c>
      <c r="L5" s="190" t="s">
        <v>274</v>
      </c>
      <c r="M5" s="210">
        <f>G5*K5</f>
        <v>7400</v>
      </c>
      <c r="N5" s="203"/>
    </row>
    <row r="6" spans="1:14" ht="23.25" customHeight="1" x14ac:dyDescent="0.15">
      <c r="A6" s="751"/>
      <c r="B6" s="201"/>
      <c r="C6" s="211"/>
      <c r="D6" s="203"/>
      <c r="E6" s="200"/>
      <c r="F6" s="201"/>
      <c r="G6" s="212"/>
      <c r="H6" s="213"/>
      <c r="I6" s="214"/>
      <c r="J6" s="214"/>
      <c r="K6" s="214" t="s">
        <v>79</v>
      </c>
      <c r="L6" s="214"/>
      <c r="M6" s="215">
        <f>SUM(M1:M5)</f>
        <v>7400</v>
      </c>
      <c r="N6" s="203"/>
    </row>
    <row r="7" spans="1:14" ht="8.25" customHeight="1" x14ac:dyDescent="0.15">
      <c r="A7" s="751"/>
      <c r="B7" s="201"/>
      <c r="C7" s="211"/>
      <c r="D7" s="203"/>
      <c r="E7" s="200"/>
      <c r="F7" s="201"/>
      <c r="G7" s="206"/>
      <c r="H7" s="216"/>
      <c r="I7" s="209"/>
      <c r="J7" s="209"/>
      <c r="K7" s="209"/>
      <c r="L7" s="209"/>
      <c r="M7" s="217"/>
      <c r="N7" s="203"/>
    </row>
    <row r="8" spans="1:14" ht="23.25" customHeight="1" x14ac:dyDescent="0.15">
      <c r="A8" s="751"/>
      <c r="B8" s="201"/>
      <c r="C8" s="211"/>
      <c r="D8" s="203"/>
      <c r="E8" s="200"/>
      <c r="F8" s="201"/>
      <c r="G8" s="209"/>
      <c r="H8" s="209"/>
      <c r="I8" s="217">
        <f>M5</f>
        <v>7400</v>
      </c>
      <c r="J8" s="209" t="s">
        <v>383</v>
      </c>
      <c r="K8" s="218">
        <v>1.08</v>
      </c>
      <c r="L8" s="209" t="s">
        <v>384</v>
      </c>
      <c r="M8" s="219">
        <f>ROUNDDOWN(I8*K8,0)</f>
        <v>7992</v>
      </c>
      <c r="N8" s="203"/>
    </row>
    <row r="9" spans="1:14" ht="15" customHeight="1" x14ac:dyDescent="0.15">
      <c r="A9" s="752"/>
      <c r="B9" s="220"/>
      <c r="C9" s="221"/>
      <c r="D9" s="222"/>
      <c r="E9" s="223"/>
      <c r="F9" s="224"/>
      <c r="G9" s="221"/>
      <c r="H9" s="225"/>
      <c r="I9" s="221"/>
      <c r="J9" s="225"/>
      <c r="K9" s="221"/>
      <c r="L9" s="225"/>
      <c r="M9" s="221"/>
      <c r="N9" s="222"/>
    </row>
    <row r="10" spans="1:14" ht="21" customHeight="1" x14ac:dyDescent="0.15">
      <c r="G10" s="226" t="s">
        <v>80</v>
      </c>
      <c r="H10" s="190" t="s">
        <v>385</v>
      </c>
      <c r="I10" s="753" t="s">
        <v>322</v>
      </c>
      <c r="J10" s="753"/>
      <c r="K10" s="753"/>
      <c r="L10" s="753"/>
      <c r="M10" s="753"/>
      <c r="N10" s="753"/>
    </row>
    <row r="11" spans="1:14" ht="21" customHeight="1" x14ac:dyDescent="0.15">
      <c r="G11" s="226" t="s">
        <v>81</v>
      </c>
      <c r="H11" s="190" t="s">
        <v>386</v>
      </c>
      <c r="I11" s="754" t="s">
        <v>323</v>
      </c>
      <c r="J11" s="754"/>
      <c r="K11" s="754"/>
      <c r="L11" s="754"/>
      <c r="M11" s="754"/>
      <c r="N11" s="754"/>
    </row>
    <row r="12" spans="1:14" ht="18" customHeight="1" x14ac:dyDescent="0.15"/>
    <row r="13" spans="1:14" x14ac:dyDescent="0.15">
      <c r="A13" s="189" t="s">
        <v>265</v>
      </c>
    </row>
    <row r="14" spans="1:14" ht="6.75" customHeight="1" x14ac:dyDescent="0.15"/>
    <row r="15" spans="1:14" ht="23.25" customHeight="1" x14ac:dyDescent="0.15">
      <c r="A15" s="191"/>
      <c r="B15" s="755" t="s">
        <v>73</v>
      </c>
      <c r="C15" s="756"/>
      <c r="D15" s="757"/>
      <c r="E15" s="192" t="s">
        <v>74</v>
      </c>
      <c r="F15" s="755" t="s">
        <v>75</v>
      </c>
      <c r="G15" s="756"/>
      <c r="H15" s="756"/>
      <c r="I15" s="756"/>
      <c r="J15" s="756"/>
      <c r="K15" s="756"/>
      <c r="L15" s="756"/>
      <c r="M15" s="756"/>
      <c r="N15" s="757"/>
    </row>
    <row r="16" spans="1:14" ht="23.25" customHeight="1" x14ac:dyDescent="0.15">
      <c r="A16" s="750" t="s">
        <v>76</v>
      </c>
      <c r="B16" s="193"/>
      <c r="C16" s="194"/>
      <c r="D16" s="195"/>
      <c r="E16" s="196"/>
      <c r="F16" s="193"/>
      <c r="G16" s="197" t="s">
        <v>324</v>
      </c>
      <c r="H16" s="198"/>
      <c r="I16" s="198" t="s">
        <v>77</v>
      </c>
      <c r="J16" s="198"/>
      <c r="K16" s="198" t="s">
        <v>90</v>
      </c>
      <c r="L16" s="198"/>
      <c r="M16" s="198" t="s">
        <v>78</v>
      </c>
      <c r="N16" s="199"/>
    </row>
    <row r="17" spans="1:14" ht="23.25" customHeight="1" x14ac:dyDescent="0.15">
      <c r="A17" s="751"/>
      <c r="B17" s="201"/>
      <c r="C17" s="202" t="s">
        <v>239</v>
      </c>
      <c r="D17" s="203"/>
      <c r="E17" s="228">
        <v>3000</v>
      </c>
      <c r="F17" s="205"/>
      <c r="G17" s="206">
        <v>300</v>
      </c>
      <c r="H17" s="207" t="s">
        <v>381</v>
      </c>
      <c r="I17" s="229">
        <v>15</v>
      </c>
      <c r="J17" s="207" t="s">
        <v>387</v>
      </c>
      <c r="K17" s="208">
        <f>ROUNDUP(E17/I17,0)</f>
        <v>200</v>
      </c>
      <c r="L17" s="207" t="s">
        <v>388</v>
      </c>
      <c r="M17" s="206">
        <f>IF(G17=0,"",G17*K17)</f>
        <v>60000</v>
      </c>
      <c r="N17" s="203"/>
    </row>
    <row r="18" spans="1:14" ht="23.25" customHeight="1" x14ac:dyDescent="0.15">
      <c r="A18" s="751"/>
      <c r="B18" s="201"/>
      <c r="C18" s="202" t="s">
        <v>255</v>
      </c>
      <c r="D18" s="203"/>
      <c r="E18" s="228">
        <v>100</v>
      </c>
      <c r="F18" s="205"/>
      <c r="G18" s="206">
        <v>1575</v>
      </c>
      <c r="H18" s="230" t="s">
        <v>389</v>
      </c>
      <c r="I18" s="229">
        <v>20</v>
      </c>
      <c r="J18" s="207" t="s">
        <v>390</v>
      </c>
      <c r="K18" s="208">
        <f>ROUNDUP(E18/I18,0)</f>
        <v>5</v>
      </c>
      <c r="L18" s="207" t="s">
        <v>391</v>
      </c>
      <c r="M18" s="206">
        <f>IF(G18=0,"",G18*K18)</f>
        <v>7875</v>
      </c>
      <c r="N18" s="203"/>
    </row>
    <row r="19" spans="1:14" ht="23.25" customHeight="1" x14ac:dyDescent="0.15">
      <c r="A19" s="751"/>
      <c r="B19" s="201"/>
      <c r="C19" s="202" t="s">
        <v>392</v>
      </c>
      <c r="D19" s="203"/>
      <c r="E19" s="228">
        <v>60</v>
      </c>
      <c r="F19" s="205"/>
      <c r="G19" s="206">
        <v>1850</v>
      </c>
      <c r="H19" s="230" t="s">
        <v>389</v>
      </c>
      <c r="I19" s="229">
        <v>20</v>
      </c>
      <c r="J19" s="207" t="s">
        <v>390</v>
      </c>
      <c r="K19" s="208">
        <f>ROUNDUP(E19/I19,0)</f>
        <v>3</v>
      </c>
      <c r="L19" s="207" t="s">
        <v>391</v>
      </c>
      <c r="M19" s="206">
        <f>IF(G19=0,"",G19*K19)</f>
        <v>5550</v>
      </c>
      <c r="N19" s="203"/>
    </row>
    <row r="20" spans="1:14" ht="23.25" customHeight="1" x14ac:dyDescent="0.15">
      <c r="A20" s="751"/>
      <c r="B20" s="201"/>
      <c r="C20" s="202" t="s">
        <v>256</v>
      </c>
      <c r="D20" s="203"/>
      <c r="E20" s="228">
        <v>40</v>
      </c>
      <c r="F20" s="205"/>
      <c r="G20" s="206">
        <v>1900</v>
      </c>
      <c r="H20" s="230" t="s">
        <v>393</v>
      </c>
      <c r="I20" s="229">
        <v>20</v>
      </c>
      <c r="J20" s="207" t="s">
        <v>383</v>
      </c>
      <c r="K20" s="208">
        <f>ROUNDUP(E20/I20,0)</f>
        <v>2</v>
      </c>
      <c r="L20" s="207" t="s">
        <v>384</v>
      </c>
      <c r="M20" s="206">
        <f>IF(G20=0,"",G20*K20)</f>
        <v>3800</v>
      </c>
      <c r="N20" s="203"/>
    </row>
    <row r="21" spans="1:14" ht="23.25" customHeight="1" thickBot="1" x14ac:dyDescent="0.2">
      <c r="A21" s="751"/>
      <c r="B21" s="201"/>
      <c r="C21" s="202" t="s">
        <v>257</v>
      </c>
      <c r="D21" s="203"/>
      <c r="E21" s="228">
        <v>100</v>
      </c>
      <c r="F21" s="205"/>
      <c r="G21" s="231">
        <v>1820</v>
      </c>
      <c r="H21" s="232" t="s">
        <v>393</v>
      </c>
      <c r="I21" s="233">
        <v>20</v>
      </c>
      <c r="J21" s="234" t="s">
        <v>383</v>
      </c>
      <c r="K21" s="235">
        <f>ROUNDUP(E21/I21,0)</f>
        <v>5</v>
      </c>
      <c r="L21" s="234" t="s">
        <v>384</v>
      </c>
      <c r="M21" s="231">
        <f>IF(G21=0,"",G21*K21)</f>
        <v>9100</v>
      </c>
      <c r="N21" s="203"/>
    </row>
    <row r="22" spans="1:14" ht="23.25" customHeight="1" x14ac:dyDescent="0.15">
      <c r="A22" s="751"/>
      <c r="B22" s="201"/>
      <c r="D22" s="203"/>
      <c r="E22" s="228"/>
      <c r="F22" s="205"/>
      <c r="G22" s="206"/>
      <c r="H22" s="216"/>
      <c r="I22" s="209"/>
      <c r="J22" s="209"/>
      <c r="K22" s="209" t="s">
        <v>79</v>
      </c>
      <c r="L22" s="209"/>
      <c r="M22" s="217">
        <f>SUM(M17:M21)</f>
        <v>86325</v>
      </c>
      <c r="N22" s="203"/>
    </row>
    <row r="23" spans="1:14" ht="7.5" customHeight="1" x14ac:dyDescent="0.15">
      <c r="A23" s="751"/>
      <c r="B23" s="201"/>
      <c r="C23" s="211"/>
      <c r="D23" s="203"/>
      <c r="E23" s="200"/>
      <c r="F23" s="201"/>
      <c r="G23" s="209"/>
      <c r="H23" s="209"/>
      <c r="I23" s="209"/>
      <c r="J23" s="209"/>
      <c r="K23" s="209"/>
      <c r="L23" s="209"/>
      <c r="M23" s="209"/>
      <c r="N23" s="203"/>
    </row>
    <row r="24" spans="1:14" ht="23.25" customHeight="1" x14ac:dyDescent="0.15">
      <c r="A24" s="751"/>
      <c r="B24" s="201"/>
      <c r="C24" s="211"/>
      <c r="D24" s="203"/>
      <c r="E24" s="200"/>
      <c r="F24" s="201"/>
      <c r="G24" s="209"/>
      <c r="H24" s="209"/>
      <c r="I24" s="217">
        <f>M22</f>
        <v>86325</v>
      </c>
      <c r="J24" s="209" t="s">
        <v>383</v>
      </c>
      <c r="K24" s="218">
        <v>1.08</v>
      </c>
      <c r="L24" s="209" t="s">
        <v>384</v>
      </c>
      <c r="M24" s="219">
        <f>ROUNDDOWN(I24*K24,0)</f>
        <v>93231</v>
      </c>
      <c r="N24" s="203"/>
    </row>
    <row r="25" spans="1:14" ht="15" customHeight="1" x14ac:dyDescent="0.15">
      <c r="A25" s="752"/>
      <c r="B25" s="220"/>
      <c r="C25" s="221"/>
      <c r="D25" s="222"/>
      <c r="E25" s="223"/>
      <c r="F25" s="224"/>
      <c r="G25" s="221"/>
      <c r="H25" s="225"/>
      <c r="I25" s="221"/>
      <c r="J25" s="225"/>
      <c r="K25" s="221"/>
      <c r="L25" s="225"/>
      <c r="M25" s="221"/>
      <c r="N25" s="222"/>
    </row>
    <row r="26" spans="1:14" ht="21" customHeight="1" x14ac:dyDescent="0.15">
      <c r="G26" s="226" t="s">
        <v>80</v>
      </c>
      <c r="H26" s="190" t="s">
        <v>385</v>
      </c>
      <c r="I26" s="753" t="s">
        <v>322</v>
      </c>
      <c r="J26" s="753"/>
      <c r="K26" s="753"/>
      <c r="L26" s="753"/>
      <c r="M26" s="753"/>
      <c r="N26" s="753"/>
    </row>
    <row r="27" spans="1:14" ht="21" customHeight="1" x14ac:dyDescent="0.15">
      <c r="G27" s="226" t="s">
        <v>81</v>
      </c>
      <c r="H27" s="190" t="s">
        <v>386</v>
      </c>
      <c r="I27" s="754" t="s">
        <v>323</v>
      </c>
      <c r="J27" s="754"/>
      <c r="K27" s="754"/>
      <c r="L27" s="754"/>
      <c r="M27" s="754"/>
      <c r="N27" s="754"/>
    </row>
    <row r="28" spans="1:14" x14ac:dyDescent="0.15">
      <c r="G28" s="226"/>
      <c r="I28" s="227"/>
      <c r="J28" s="227"/>
      <c r="K28" s="227"/>
      <c r="L28" s="227"/>
      <c r="M28" s="227"/>
      <c r="N28" s="227"/>
    </row>
    <row r="29" spans="1:14" x14ac:dyDescent="0.15">
      <c r="A29" s="189" t="s">
        <v>264</v>
      </c>
    </row>
    <row r="30" spans="1:14" ht="6.75" customHeight="1" x14ac:dyDescent="0.15"/>
    <row r="31" spans="1:14" ht="23.25" customHeight="1" x14ac:dyDescent="0.15">
      <c r="A31" s="191"/>
      <c r="B31" s="755" t="s">
        <v>73</v>
      </c>
      <c r="C31" s="756"/>
      <c r="D31" s="757"/>
      <c r="E31" s="192" t="s">
        <v>74</v>
      </c>
      <c r="F31" s="755" t="s">
        <v>75</v>
      </c>
      <c r="G31" s="756"/>
      <c r="H31" s="756"/>
      <c r="I31" s="756"/>
      <c r="J31" s="756"/>
      <c r="K31" s="756"/>
      <c r="L31" s="756"/>
      <c r="M31" s="756"/>
      <c r="N31" s="757"/>
    </row>
    <row r="32" spans="1:14" s="242" customFormat="1" ht="23.25" customHeight="1" x14ac:dyDescent="0.15">
      <c r="A32" s="758" t="s">
        <v>82</v>
      </c>
      <c r="B32" s="236"/>
      <c r="C32" s="237"/>
      <c r="D32" s="238"/>
      <c r="E32" s="239"/>
      <c r="F32" s="236"/>
      <c r="G32" s="240" t="s">
        <v>324</v>
      </c>
      <c r="H32" s="240"/>
      <c r="I32" s="240" t="s">
        <v>77</v>
      </c>
      <c r="J32" s="240"/>
      <c r="K32" s="240" t="s">
        <v>74</v>
      </c>
      <c r="L32" s="240"/>
      <c r="M32" s="240" t="s">
        <v>78</v>
      </c>
      <c r="N32" s="241"/>
    </row>
    <row r="33" spans="1:14" s="242" customFormat="1" ht="23.25" customHeight="1" x14ac:dyDescent="0.15">
      <c r="A33" s="759"/>
      <c r="B33" s="236"/>
      <c r="C33" s="244" t="s">
        <v>275</v>
      </c>
      <c r="D33" s="238"/>
      <c r="E33" s="245">
        <v>16</v>
      </c>
      <c r="F33" s="246"/>
      <c r="G33" s="247">
        <v>1000</v>
      </c>
      <c r="H33" s="248" t="s">
        <v>28</v>
      </c>
      <c r="I33" s="249">
        <v>100</v>
      </c>
      <c r="J33" s="250" t="s">
        <v>394</v>
      </c>
      <c r="K33" s="251">
        <v>16</v>
      </c>
      <c r="L33" s="250" t="s">
        <v>395</v>
      </c>
      <c r="M33" s="247">
        <f>IF(G33=0,"",G33*K33)</f>
        <v>16000</v>
      </c>
      <c r="N33" s="238"/>
    </row>
    <row r="34" spans="1:14" s="242" customFormat="1" ht="23.25" customHeight="1" thickBot="1" x14ac:dyDescent="0.2">
      <c r="A34" s="759"/>
      <c r="B34" s="236"/>
      <c r="C34" s="244" t="s">
        <v>276</v>
      </c>
      <c r="D34" s="238"/>
      <c r="E34" s="245">
        <v>16</v>
      </c>
      <c r="F34" s="246"/>
      <c r="G34" s="252">
        <v>850</v>
      </c>
      <c r="H34" s="253" t="s">
        <v>28</v>
      </c>
      <c r="I34" s="254">
        <v>100</v>
      </c>
      <c r="J34" s="255" t="s">
        <v>394</v>
      </c>
      <c r="K34" s="256">
        <v>16</v>
      </c>
      <c r="L34" s="255" t="s">
        <v>395</v>
      </c>
      <c r="M34" s="252">
        <f>IF(G34=0,"",G34*K34)</f>
        <v>13600</v>
      </c>
      <c r="N34" s="238"/>
    </row>
    <row r="35" spans="1:14" s="242" customFormat="1" ht="23.25" customHeight="1" x14ac:dyDescent="0.15">
      <c r="A35" s="759"/>
      <c r="B35" s="236"/>
      <c r="C35" s="257"/>
      <c r="D35" s="238"/>
      <c r="E35" s="243"/>
      <c r="F35" s="236"/>
      <c r="G35" s="258"/>
      <c r="H35" s="258"/>
      <c r="I35" s="259"/>
      <c r="J35" s="258"/>
      <c r="K35" s="218" t="s">
        <v>79</v>
      </c>
      <c r="L35" s="258"/>
      <c r="M35" s="259">
        <f>SUM(M33:M34)</f>
        <v>29600</v>
      </c>
      <c r="N35" s="238"/>
    </row>
    <row r="36" spans="1:14" s="242" customFormat="1" ht="23.25" customHeight="1" x14ac:dyDescent="0.15">
      <c r="A36" s="759"/>
      <c r="B36" s="236"/>
      <c r="C36" s="257"/>
      <c r="D36" s="238"/>
      <c r="E36" s="243"/>
      <c r="F36" s="236"/>
      <c r="G36" s="258"/>
      <c r="H36" s="258"/>
      <c r="I36" s="259"/>
      <c r="J36" s="258"/>
      <c r="K36" s="218"/>
      <c r="L36" s="258"/>
      <c r="M36" s="259"/>
      <c r="N36" s="238"/>
    </row>
    <row r="37" spans="1:14" s="242" customFormat="1" ht="23.25" customHeight="1" x14ac:dyDescent="0.15">
      <c r="A37" s="759"/>
      <c r="B37" s="236"/>
      <c r="C37" s="257"/>
      <c r="D37" s="238"/>
      <c r="E37" s="243"/>
      <c r="F37" s="236"/>
      <c r="G37" s="258"/>
      <c r="H37" s="258"/>
      <c r="I37" s="259">
        <f>M35</f>
        <v>29600</v>
      </c>
      <c r="J37" s="250" t="s">
        <v>383</v>
      </c>
      <c r="K37" s="218">
        <v>1.08</v>
      </c>
      <c r="L37" s="258" t="s">
        <v>396</v>
      </c>
      <c r="M37" s="260">
        <f>ROUNDDOWN(I37*K37,0)</f>
        <v>31968</v>
      </c>
      <c r="N37" s="238"/>
    </row>
    <row r="38" spans="1:14" s="242" customFormat="1" ht="15" customHeight="1" x14ac:dyDescent="0.15">
      <c r="A38" s="760"/>
      <c r="B38" s="261"/>
      <c r="C38" s="262"/>
      <c r="D38" s="263"/>
      <c r="E38" s="264"/>
      <c r="F38" s="265"/>
      <c r="G38" s="262"/>
      <c r="H38" s="266"/>
      <c r="I38" s="262"/>
      <c r="J38" s="266"/>
      <c r="K38" s="262"/>
      <c r="L38" s="266"/>
      <c r="M38" s="262"/>
      <c r="N38" s="263"/>
    </row>
    <row r="39" spans="1:14" ht="21" customHeight="1" x14ac:dyDescent="0.15">
      <c r="G39" s="226" t="s">
        <v>80</v>
      </c>
      <c r="H39" s="190" t="s">
        <v>385</v>
      </c>
      <c r="I39" s="753" t="s">
        <v>322</v>
      </c>
      <c r="J39" s="753"/>
      <c r="K39" s="753"/>
      <c r="L39" s="753"/>
      <c r="M39" s="753"/>
      <c r="N39" s="753"/>
    </row>
    <row r="40" spans="1:14" ht="21" customHeight="1" x14ac:dyDescent="0.15">
      <c r="G40" s="226" t="s">
        <v>81</v>
      </c>
      <c r="H40" s="190" t="s">
        <v>386</v>
      </c>
      <c r="I40" s="754" t="s">
        <v>323</v>
      </c>
      <c r="J40" s="754"/>
      <c r="K40" s="754"/>
      <c r="L40" s="754"/>
      <c r="M40" s="754"/>
      <c r="N40" s="754"/>
    </row>
    <row r="41" spans="1:14" x14ac:dyDescent="0.15">
      <c r="G41" s="226"/>
      <c r="I41" s="227"/>
      <c r="J41" s="227"/>
      <c r="K41" s="227"/>
      <c r="L41" s="227"/>
      <c r="M41" s="227"/>
      <c r="N41" s="227"/>
    </row>
    <row r="42" spans="1:14" x14ac:dyDescent="0.15">
      <c r="A42" s="189" t="s">
        <v>267</v>
      </c>
    </row>
    <row r="43" spans="1:14" ht="7.5" customHeight="1" x14ac:dyDescent="0.15"/>
    <row r="44" spans="1:14" ht="23.25" customHeight="1" x14ac:dyDescent="0.15">
      <c r="A44" s="191"/>
      <c r="B44" s="755" t="s">
        <v>73</v>
      </c>
      <c r="C44" s="756"/>
      <c r="D44" s="757"/>
      <c r="E44" s="192" t="s">
        <v>74</v>
      </c>
      <c r="F44" s="755" t="s">
        <v>75</v>
      </c>
      <c r="G44" s="756"/>
      <c r="H44" s="756"/>
      <c r="I44" s="756"/>
      <c r="J44" s="756"/>
      <c r="K44" s="756"/>
      <c r="L44" s="756"/>
      <c r="M44" s="756"/>
      <c r="N44" s="757"/>
    </row>
    <row r="45" spans="1:14" ht="23.25" customHeight="1" x14ac:dyDescent="0.15">
      <c r="A45" s="750" t="s">
        <v>83</v>
      </c>
      <c r="B45" s="193"/>
      <c r="C45" s="194"/>
      <c r="D45" s="195"/>
      <c r="E45" s="196"/>
      <c r="F45" s="193"/>
      <c r="G45" s="267" t="s">
        <v>84</v>
      </c>
      <c r="H45" s="268"/>
      <c r="I45" s="268"/>
      <c r="J45" s="268"/>
      <c r="K45" s="268" t="s">
        <v>90</v>
      </c>
      <c r="L45" s="268"/>
      <c r="M45" s="268" t="s">
        <v>78</v>
      </c>
      <c r="N45" s="199"/>
    </row>
    <row r="46" spans="1:14" ht="23.25" customHeight="1" x14ac:dyDescent="0.15">
      <c r="A46" s="751"/>
      <c r="B46" s="201"/>
      <c r="C46" s="202" t="s">
        <v>240</v>
      </c>
      <c r="D46" s="203"/>
      <c r="E46" s="269">
        <v>150</v>
      </c>
      <c r="F46" s="205"/>
      <c r="G46" s="206">
        <v>110</v>
      </c>
      <c r="H46" s="207" t="s">
        <v>381</v>
      </c>
      <c r="I46" s="270" t="s">
        <v>397</v>
      </c>
      <c r="J46" s="207" t="s">
        <v>387</v>
      </c>
      <c r="K46" s="271">
        <f>E46</f>
        <v>150</v>
      </c>
      <c r="L46" s="207" t="s">
        <v>388</v>
      </c>
      <c r="M46" s="206">
        <f>IF(G46=0,"",G46*K46)</f>
        <v>16500</v>
      </c>
      <c r="N46" s="203"/>
    </row>
    <row r="47" spans="1:14" ht="23.25" customHeight="1" thickBot="1" x14ac:dyDescent="0.2">
      <c r="A47" s="751"/>
      <c r="B47" s="201"/>
      <c r="C47" s="202" t="s">
        <v>241</v>
      </c>
      <c r="D47" s="203"/>
      <c r="E47" s="228"/>
      <c r="F47" s="205"/>
      <c r="G47" s="761" t="s">
        <v>85</v>
      </c>
      <c r="H47" s="761"/>
      <c r="I47" s="761"/>
      <c r="J47" s="761"/>
      <c r="K47" s="761"/>
      <c r="L47" s="234" t="s">
        <v>388</v>
      </c>
      <c r="M47" s="231">
        <f>M46*0.3</f>
        <v>4950</v>
      </c>
      <c r="N47" s="203"/>
    </row>
    <row r="48" spans="1:14" ht="23.25" customHeight="1" x14ac:dyDescent="0.15">
      <c r="A48" s="751"/>
      <c r="B48" s="201"/>
      <c r="C48" s="202"/>
      <c r="D48" s="203"/>
      <c r="E48" s="228"/>
      <c r="F48" s="205"/>
      <c r="G48" s="206"/>
      <c r="H48" s="216"/>
      <c r="I48" s="209"/>
      <c r="J48" s="209"/>
      <c r="K48" s="209" t="s">
        <v>79</v>
      </c>
      <c r="L48" s="209"/>
      <c r="M48" s="219">
        <f>ROUNDDOWN(SUM(M46:M47),0)</f>
        <v>21450</v>
      </c>
      <c r="N48" s="203"/>
    </row>
    <row r="49" spans="1:14" ht="7.5" customHeight="1" x14ac:dyDescent="0.15">
      <c r="A49" s="751"/>
      <c r="B49" s="201"/>
      <c r="C49" s="211"/>
      <c r="D49" s="203"/>
      <c r="E49" s="272"/>
      <c r="F49" s="273"/>
      <c r="G49" s="211"/>
      <c r="H49" s="209"/>
      <c r="I49" s="211"/>
      <c r="J49" s="209"/>
      <c r="K49" s="211"/>
      <c r="L49" s="209"/>
      <c r="M49" s="211"/>
      <c r="N49" s="203"/>
    </row>
    <row r="50" spans="1:14" ht="15" customHeight="1" x14ac:dyDescent="0.15">
      <c r="A50" s="752"/>
      <c r="B50" s="220"/>
      <c r="C50" s="221"/>
      <c r="D50" s="222"/>
      <c r="E50" s="223"/>
      <c r="F50" s="224"/>
      <c r="G50" s="221"/>
      <c r="H50" s="225"/>
      <c r="I50" s="221"/>
      <c r="J50" s="225"/>
      <c r="K50" s="221"/>
      <c r="L50" s="225"/>
      <c r="M50" s="221"/>
      <c r="N50" s="222"/>
    </row>
    <row r="51" spans="1:14" ht="18.75" customHeight="1" x14ac:dyDescent="0.15">
      <c r="G51" s="226" t="s">
        <v>80</v>
      </c>
      <c r="H51" s="190" t="s">
        <v>385</v>
      </c>
      <c r="I51" s="189" t="s">
        <v>87</v>
      </c>
      <c r="J51" s="274"/>
      <c r="K51" s="274"/>
      <c r="L51" s="274"/>
      <c r="M51" s="274"/>
      <c r="N51" s="274"/>
    </row>
    <row r="52" spans="1:14" ht="18.75" customHeight="1" x14ac:dyDescent="0.15">
      <c r="I52" s="754" t="s">
        <v>86</v>
      </c>
      <c r="J52" s="754"/>
      <c r="K52" s="754"/>
      <c r="L52" s="754"/>
      <c r="M52" s="754"/>
    </row>
    <row r="54" spans="1:14" x14ac:dyDescent="0.15">
      <c r="A54" s="189" t="s">
        <v>268</v>
      </c>
    </row>
    <row r="55" spans="1:14" ht="6.75" customHeight="1" x14ac:dyDescent="0.15"/>
    <row r="56" spans="1:14" ht="23.25" customHeight="1" x14ac:dyDescent="0.15">
      <c r="A56" s="191"/>
      <c r="B56" s="755" t="s">
        <v>73</v>
      </c>
      <c r="C56" s="756"/>
      <c r="D56" s="757"/>
      <c r="E56" s="192" t="s">
        <v>74</v>
      </c>
      <c r="F56" s="755" t="s">
        <v>75</v>
      </c>
      <c r="G56" s="756"/>
      <c r="H56" s="756"/>
      <c r="I56" s="756"/>
      <c r="J56" s="756"/>
      <c r="K56" s="756"/>
      <c r="L56" s="756"/>
      <c r="M56" s="756"/>
      <c r="N56" s="757"/>
    </row>
    <row r="57" spans="1:14" ht="23.25" customHeight="1" x14ac:dyDescent="0.15">
      <c r="A57" s="764" t="s">
        <v>88</v>
      </c>
      <c r="B57" s="201"/>
      <c r="C57" s="194"/>
      <c r="D57" s="203"/>
      <c r="E57" s="196"/>
      <c r="F57" s="201"/>
      <c r="G57" s="240" t="s">
        <v>324</v>
      </c>
      <c r="H57" s="209"/>
      <c r="I57" s="209" t="s">
        <v>77</v>
      </c>
      <c r="J57" s="209"/>
      <c r="K57" s="209" t="s">
        <v>90</v>
      </c>
      <c r="L57" s="209"/>
      <c r="M57" s="209" t="s">
        <v>78</v>
      </c>
      <c r="N57" s="275"/>
    </row>
    <row r="58" spans="1:14" ht="23.25" customHeight="1" x14ac:dyDescent="0.15">
      <c r="A58" s="765"/>
      <c r="B58" s="201"/>
      <c r="C58" s="202" t="s">
        <v>259</v>
      </c>
      <c r="D58" s="203"/>
      <c r="E58" s="276">
        <v>1500</v>
      </c>
      <c r="F58" s="205"/>
      <c r="G58" s="206">
        <v>40</v>
      </c>
      <c r="H58" s="207" t="s">
        <v>398</v>
      </c>
      <c r="I58" s="277" t="s">
        <v>399</v>
      </c>
      <c r="J58" s="207" t="s">
        <v>400</v>
      </c>
      <c r="K58" s="278">
        <f>E58</f>
        <v>1500</v>
      </c>
      <c r="L58" s="207" t="s">
        <v>401</v>
      </c>
      <c r="M58" s="206">
        <f>IF(G58=0,"",G58*K58)</f>
        <v>60000</v>
      </c>
      <c r="N58" s="203"/>
    </row>
    <row r="59" spans="1:14" ht="23.25" customHeight="1" x14ac:dyDescent="0.15">
      <c r="A59" s="765"/>
      <c r="B59" s="201"/>
      <c r="C59" s="202" t="s">
        <v>242</v>
      </c>
      <c r="D59" s="203"/>
      <c r="E59" s="279">
        <v>2</v>
      </c>
      <c r="F59" s="201"/>
      <c r="G59" s="206">
        <v>1500</v>
      </c>
      <c r="H59" s="207" t="s">
        <v>398</v>
      </c>
      <c r="I59" s="280">
        <v>1</v>
      </c>
      <c r="J59" s="207" t="s">
        <v>400</v>
      </c>
      <c r="K59" s="281">
        <f>E59</f>
        <v>2</v>
      </c>
      <c r="L59" s="207" t="s">
        <v>401</v>
      </c>
      <c r="M59" s="217">
        <f>IF(G59=0,"",G59*K59)</f>
        <v>3000</v>
      </c>
      <c r="N59" s="203"/>
    </row>
    <row r="60" spans="1:14" ht="23.25" customHeight="1" x14ac:dyDescent="0.15">
      <c r="A60" s="765"/>
      <c r="B60" s="201"/>
      <c r="C60" s="202" t="s">
        <v>243</v>
      </c>
      <c r="D60" s="203"/>
      <c r="E60" s="279">
        <v>2</v>
      </c>
      <c r="F60" s="282"/>
      <c r="G60" s="206">
        <v>1500</v>
      </c>
      <c r="H60" s="207" t="s">
        <v>398</v>
      </c>
      <c r="I60" s="280">
        <v>1</v>
      </c>
      <c r="J60" s="207" t="s">
        <v>400</v>
      </c>
      <c r="K60" s="281">
        <f>E60</f>
        <v>2</v>
      </c>
      <c r="L60" s="207" t="s">
        <v>401</v>
      </c>
      <c r="M60" s="217">
        <f>IF(G60=0,"",G60*K60)</f>
        <v>3000</v>
      </c>
      <c r="N60" s="203"/>
    </row>
    <row r="61" spans="1:14" ht="23.25" customHeight="1" x14ac:dyDescent="0.15">
      <c r="A61" s="765"/>
      <c r="B61" s="201"/>
      <c r="C61" s="202" t="s">
        <v>258</v>
      </c>
      <c r="D61" s="203"/>
      <c r="E61" s="279">
        <v>2</v>
      </c>
      <c r="F61" s="282"/>
      <c r="G61" s="206">
        <v>4000</v>
      </c>
      <c r="H61" s="207" t="s">
        <v>402</v>
      </c>
      <c r="I61" s="280">
        <v>1</v>
      </c>
      <c r="J61" s="207" t="s">
        <v>403</v>
      </c>
      <c r="K61" s="281">
        <f>E61</f>
        <v>2</v>
      </c>
      <c r="L61" s="207" t="s">
        <v>404</v>
      </c>
      <c r="M61" s="217">
        <f>IF(G61=0,"",G61*K61)</f>
        <v>8000</v>
      </c>
      <c r="N61" s="203"/>
    </row>
    <row r="62" spans="1:14" ht="23.25" customHeight="1" thickBot="1" x14ac:dyDescent="0.2">
      <c r="A62" s="765"/>
      <c r="B62" s="201"/>
      <c r="C62" s="202" t="s">
        <v>405</v>
      </c>
      <c r="D62" s="203"/>
      <c r="E62" s="279">
        <v>3</v>
      </c>
      <c r="F62" s="282"/>
      <c r="G62" s="231">
        <v>4700</v>
      </c>
      <c r="H62" s="234" t="s">
        <v>402</v>
      </c>
      <c r="I62" s="283">
        <v>1</v>
      </c>
      <c r="J62" s="234" t="s">
        <v>403</v>
      </c>
      <c r="K62" s="284">
        <f>E62</f>
        <v>3</v>
      </c>
      <c r="L62" s="234" t="s">
        <v>404</v>
      </c>
      <c r="M62" s="285">
        <f>IF(G62=0,"",G62*K62)</f>
        <v>14100</v>
      </c>
      <c r="N62" s="203"/>
    </row>
    <row r="63" spans="1:14" ht="23.25" customHeight="1" x14ac:dyDescent="0.15">
      <c r="A63" s="765"/>
      <c r="B63" s="201"/>
      <c r="C63" s="202"/>
      <c r="D63" s="203"/>
      <c r="E63" s="286"/>
      <c r="F63" s="282"/>
      <c r="G63" s="287"/>
      <c r="H63" s="216"/>
      <c r="I63" s="217"/>
      <c r="J63" s="216"/>
      <c r="K63" s="287" t="s">
        <v>79</v>
      </c>
      <c r="L63" s="207"/>
      <c r="M63" s="217">
        <f>SUM(M58:M62)</f>
        <v>88100</v>
      </c>
      <c r="N63" s="203"/>
    </row>
    <row r="64" spans="1:14" ht="15" customHeight="1" x14ac:dyDescent="0.15">
      <c r="A64" s="765"/>
      <c r="B64" s="201"/>
      <c r="C64" s="202"/>
      <c r="D64" s="203"/>
      <c r="E64" s="286"/>
      <c r="F64" s="282"/>
      <c r="G64" s="287"/>
      <c r="H64" s="216"/>
      <c r="I64" s="287"/>
      <c r="J64" s="216"/>
      <c r="K64" s="287"/>
      <c r="L64" s="216"/>
      <c r="M64" s="217"/>
      <c r="N64" s="203"/>
    </row>
    <row r="65" spans="1:14" ht="23.25" customHeight="1" x14ac:dyDescent="0.15">
      <c r="A65" s="765"/>
      <c r="B65" s="201"/>
      <c r="C65" s="202"/>
      <c r="D65" s="203"/>
      <c r="E65" s="200"/>
      <c r="F65" s="201"/>
      <c r="G65" s="209"/>
      <c r="H65" s="209"/>
      <c r="I65" s="217">
        <f>M63</f>
        <v>88100</v>
      </c>
      <c r="J65" s="207" t="s">
        <v>383</v>
      </c>
      <c r="K65" s="218">
        <v>1.08</v>
      </c>
      <c r="L65" s="207" t="s">
        <v>384</v>
      </c>
      <c r="M65" s="288">
        <f>ROUNDDOWN(I65*K65,0)</f>
        <v>95148</v>
      </c>
      <c r="N65" s="203"/>
    </row>
    <row r="66" spans="1:14" ht="15" customHeight="1" x14ac:dyDescent="0.15">
      <c r="A66" s="766"/>
      <c r="B66" s="220"/>
      <c r="C66" s="221"/>
      <c r="D66" s="222"/>
      <c r="E66" s="223"/>
      <c r="F66" s="224"/>
      <c r="G66" s="221"/>
      <c r="H66" s="225"/>
      <c r="I66" s="221"/>
      <c r="J66" s="225"/>
      <c r="K66" s="221"/>
      <c r="L66" s="225"/>
      <c r="M66" s="221"/>
      <c r="N66" s="222"/>
    </row>
    <row r="67" spans="1:14" ht="5.25" customHeight="1" x14ac:dyDescent="0.15"/>
    <row r="68" spans="1:14" ht="21" customHeight="1" x14ac:dyDescent="0.15">
      <c r="G68" s="226" t="s">
        <v>80</v>
      </c>
      <c r="H68" s="190" t="s">
        <v>385</v>
      </c>
      <c r="I68" s="753" t="s">
        <v>322</v>
      </c>
      <c r="J68" s="753"/>
      <c r="K68" s="753"/>
      <c r="L68" s="753"/>
      <c r="M68" s="753"/>
      <c r="N68" s="753"/>
    </row>
    <row r="69" spans="1:14" ht="21" customHeight="1" x14ac:dyDescent="0.15">
      <c r="G69" s="226" t="s">
        <v>81</v>
      </c>
      <c r="H69" s="190" t="s">
        <v>386</v>
      </c>
      <c r="I69" s="754" t="s">
        <v>323</v>
      </c>
      <c r="J69" s="754"/>
      <c r="K69" s="754"/>
      <c r="L69" s="754"/>
      <c r="M69" s="754"/>
      <c r="N69" s="754"/>
    </row>
    <row r="71" spans="1:14" x14ac:dyDescent="0.15">
      <c r="A71" s="189" t="s">
        <v>269</v>
      </c>
    </row>
    <row r="72" spans="1:14" ht="7.5" customHeight="1" x14ac:dyDescent="0.15"/>
    <row r="73" spans="1:14" ht="18" customHeight="1" x14ac:dyDescent="0.15">
      <c r="A73" s="191"/>
      <c r="B73" s="755" t="s">
        <v>73</v>
      </c>
      <c r="C73" s="756"/>
      <c r="D73" s="757"/>
      <c r="E73" s="192" t="s">
        <v>74</v>
      </c>
      <c r="F73" s="755" t="s">
        <v>75</v>
      </c>
      <c r="G73" s="756"/>
      <c r="H73" s="756"/>
      <c r="I73" s="756"/>
      <c r="J73" s="756"/>
      <c r="K73" s="756"/>
      <c r="L73" s="756"/>
      <c r="M73" s="756"/>
      <c r="N73" s="757"/>
    </row>
    <row r="74" spans="1:14" ht="18" customHeight="1" x14ac:dyDescent="0.15">
      <c r="A74" s="750" t="s">
        <v>89</v>
      </c>
      <c r="B74" s="193"/>
      <c r="C74" s="194"/>
      <c r="D74" s="195"/>
      <c r="E74" s="196"/>
      <c r="F74" s="193"/>
      <c r="G74" s="240" t="s">
        <v>324</v>
      </c>
      <c r="H74" s="268"/>
      <c r="I74" s="268" t="s">
        <v>77</v>
      </c>
      <c r="J74" s="268"/>
      <c r="K74" s="268" t="s">
        <v>90</v>
      </c>
      <c r="L74" s="268"/>
      <c r="M74" s="268" t="s">
        <v>78</v>
      </c>
      <c r="N74" s="199"/>
    </row>
    <row r="75" spans="1:14" ht="18" customHeight="1" thickBot="1" x14ac:dyDescent="0.2">
      <c r="A75" s="751"/>
      <c r="B75" s="201"/>
      <c r="C75" s="202" t="s">
        <v>244</v>
      </c>
      <c r="D75" s="203"/>
      <c r="E75" s="276">
        <v>1000</v>
      </c>
      <c r="F75" s="289"/>
      <c r="G75" s="206">
        <v>110</v>
      </c>
      <c r="H75" s="207" t="s">
        <v>381</v>
      </c>
      <c r="I75" s="290" t="s">
        <v>406</v>
      </c>
      <c r="J75" s="207" t="s">
        <v>387</v>
      </c>
      <c r="K75" s="278">
        <f>E75</f>
        <v>1000</v>
      </c>
      <c r="L75" s="207" t="s">
        <v>388</v>
      </c>
      <c r="M75" s="206">
        <f>G75*K75</f>
        <v>110000</v>
      </c>
      <c r="N75" s="203"/>
    </row>
    <row r="76" spans="1:14" ht="18" customHeight="1" x14ac:dyDescent="0.15">
      <c r="A76" s="751"/>
      <c r="B76" s="201"/>
      <c r="C76" s="202"/>
      <c r="D76" s="203"/>
      <c r="E76" s="276"/>
      <c r="F76" s="289"/>
      <c r="G76" s="212"/>
      <c r="H76" s="291"/>
      <c r="I76" s="292"/>
      <c r="J76" s="291"/>
      <c r="K76" s="293" t="s">
        <v>79</v>
      </c>
      <c r="L76" s="291"/>
      <c r="M76" s="215">
        <f>SUM(M71:M75)</f>
        <v>110000</v>
      </c>
      <c r="N76" s="203"/>
    </row>
    <row r="77" spans="1:14" ht="7.5" customHeight="1" x14ac:dyDescent="0.15">
      <c r="A77" s="751"/>
      <c r="B77" s="201"/>
      <c r="C77" s="202"/>
      <c r="D77" s="203"/>
      <c r="E77" s="294"/>
      <c r="F77" s="289"/>
      <c r="G77" s="206"/>
      <c r="H77" s="207"/>
      <c r="I77" s="290"/>
      <c r="J77" s="207"/>
      <c r="K77" s="278"/>
      <c r="L77" s="207"/>
      <c r="M77" s="206"/>
      <c r="N77" s="203"/>
    </row>
    <row r="78" spans="1:14" ht="18" customHeight="1" x14ac:dyDescent="0.15">
      <c r="A78" s="751"/>
      <c r="B78" s="201"/>
      <c r="C78" s="202"/>
      <c r="D78" s="203"/>
      <c r="E78" s="294"/>
      <c r="F78" s="289"/>
      <c r="G78" s="206"/>
      <c r="H78" s="207"/>
      <c r="I78" s="206">
        <f>M75</f>
        <v>110000</v>
      </c>
      <c r="J78" s="207" t="s">
        <v>407</v>
      </c>
      <c r="K78" s="218">
        <v>1.08</v>
      </c>
      <c r="L78" s="207" t="s">
        <v>408</v>
      </c>
      <c r="M78" s="206">
        <f>I78*K78</f>
        <v>118800.00000000001</v>
      </c>
      <c r="N78" s="203"/>
    </row>
    <row r="79" spans="1:14" ht="18" customHeight="1" x14ac:dyDescent="0.15">
      <c r="A79" s="751"/>
      <c r="B79" s="201"/>
      <c r="C79" s="202"/>
      <c r="D79" s="203"/>
      <c r="E79" s="295"/>
      <c r="F79" s="289"/>
      <c r="G79" s="206"/>
      <c r="H79" s="206"/>
      <c r="I79" s="206"/>
      <c r="J79" s="206"/>
      <c r="K79" s="206"/>
      <c r="L79" s="207"/>
      <c r="M79" s="206"/>
      <c r="N79" s="203"/>
    </row>
    <row r="80" spans="1:14" ht="18" customHeight="1" x14ac:dyDescent="0.15">
      <c r="A80" s="751"/>
      <c r="B80" s="201"/>
      <c r="C80" s="202"/>
      <c r="D80" s="203"/>
      <c r="E80" s="295"/>
      <c r="F80" s="289"/>
      <c r="G80" s="206" t="s">
        <v>78</v>
      </c>
      <c r="H80" s="216"/>
      <c r="I80" s="217" t="s">
        <v>91</v>
      </c>
      <c r="J80" s="209"/>
      <c r="K80" s="209"/>
      <c r="L80" s="209"/>
      <c r="M80" s="217"/>
      <c r="N80" s="203"/>
    </row>
    <row r="81" spans="1:14" ht="18" customHeight="1" x14ac:dyDescent="0.15">
      <c r="A81" s="751"/>
      <c r="B81" s="201"/>
      <c r="C81" s="202"/>
      <c r="D81" s="203"/>
      <c r="E81" s="295"/>
      <c r="F81" s="289"/>
      <c r="G81" s="206">
        <f>M78</f>
        <v>118800.00000000001</v>
      </c>
      <c r="H81" s="216" t="s">
        <v>409</v>
      </c>
      <c r="I81" s="296">
        <v>4</v>
      </c>
      <c r="J81" s="207" t="s">
        <v>410</v>
      </c>
      <c r="K81" s="219">
        <f>ROUNDDOWN(G81/I81,0)</f>
        <v>29700</v>
      </c>
      <c r="L81" s="209"/>
      <c r="M81" s="217"/>
      <c r="N81" s="203"/>
    </row>
    <row r="82" spans="1:14" ht="18" customHeight="1" x14ac:dyDescent="0.15">
      <c r="A82" s="752"/>
      <c r="B82" s="220"/>
      <c r="C82" s="221"/>
      <c r="D82" s="222"/>
      <c r="E82" s="223"/>
      <c r="F82" s="224"/>
      <c r="G82" s="221"/>
      <c r="H82" s="225"/>
      <c r="I82" s="221"/>
      <c r="J82" s="225"/>
      <c r="K82" s="221"/>
      <c r="L82" s="225"/>
      <c r="M82" s="221"/>
      <c r="N82" s="222"/>
    </row>
    <row r="83" spans="1:14" ht="6" customHeight="1" x14ac:dyDescent="0.15">
      <c r="A83" s="209"/>
      <c r="B83" s="209"/>
      <c r="C83" s="211"/>
      <c r="D83" s="211"/>
      <c r="E83" s="211"/>
      <c r="F83" s="211"/>
      <c r="G83" s="211"/>
      <c r="H83" s="209"/>
      <c r="I83" s="211"/>
      <c r="J83" s="209"/>
      <c r="K83" s="211"/>
      <c r="L83" s="209"/>
      <c r="M83" s="211"/>
      <c r="N83" s="211"/>
    </row>
    <row r="84" spans="1:14" ht="18" customHeight="1" x14ac:dyDescent="0.15">
      <c r="A84" s="209"/>
      <c r="B84" s="209"/>
      <c r="C84" s="211"/>
      <c r="D84" s="211"/>
      <c r="E84" s="211"/>
      <c r="F84" s="211"/>
      <c r="G84" s="211" t="s">
        <v>80</v>
      </c>
      <c r="H84" s="209" t="s">
        <v>29</v>
      </c>
      <c r="I84" s="753" t="s">
        <v>322</v>
      </c>
      <c r="J84" s="753"/>
      <c r="K84" s="753"/>
      <c r="L84" s="753"/>
      <c r="M84" s="753"/>
      <c r="N84" s="753"/>
    </row>
    <row r="85" spans="1:14" x14ac:dyDescent="0.15">
      <c r="G85" s="189" t="s">
        <v>81</v>
      </c>
      <c r="H85" s="190" t="s">
        <v>29</v>
      </c>
      <c r="I85" s="754" t="s">
        <v>323</v>
      </c>
      <c r="J85" s="754"/>
      <c r="K85" s="754"/>
      <c r="L85" s="754"/>
      <c r="M85" s="754"/>
      <c r="N85" s="754"/>
    </row>
    <row r="87" spans="1:14" x14ac:dyDescent="0.15">
      <c r="A87" s="189" t="s">
        <v>270</v>
      </c>
    </row>
    <row r="88" spans="1:14" ht="7.5" customHeight="1" x14ac:dyDescent="0.15"/>
    <row r="89" spans="1:14" ht="18" customHeight="1" x14ac:dyDescent="0.15">
      <c r="A89" s="191"/>
      <c r="B89" s="755" t="s">
        <v>73</v>
      </c>
      <c r="C89" s="756"/>
      <c r="D89" s="757"/>
      <c r="E89" s="755" t="s">
        <v>92</v>
      </c>
      <c r="F89" s="756"/>
      <c r="G89" s="756"/>
      <c r="H89" s="756"/>
      <c r="I89" s="756"/>
      <c r="J89" s="756"/>
      <c r="K89" s="756"/>
      <c r="L89" s="756"/>
      <c r="M89" s="756"/>
      <c r="N89" s="757"/>
    </row>
    <row r="90" spans="1:14" ht="17.25" customHeight="1" x14ac:dyDescent="0.15">
      <c r="A90" s="762"/>
      <c r="B90" s="201"/>
      <c r="C90" s="202"/>
      <c r="D90" s="203"/>
      <c r="E90" s="273"/>
      <c r="F90" s="297"/>
      <c r="G90" s="297"/>
      <c r="H90" s="287"/>
      <c r="I90" s="297"/>
      <c r="J90" s="287"/>
      <c r="K90" s="297"/>
      <c r="L90" s="287"/>
      <c r="M90" s="297"/>
      <c r="N90" s="298"/>
    </row>
    <row r="91" spans="1:14" ht="17.25" customHeight="1" x14ac:dyDescent="0.15">
      <c r="A91" s="762"/>
      <c r="B91" s="201"/>
      <c r="C91" s="202" t="s">
        <v>245</v>
      </c>
      <c r="D91" s="203"/>
      <c r="E91" s="201"/>
      <c r="F91" s="297"/>
      <c r="G91" s="287" t="s">
        <v>95</v>
      </c>
      <c r="H91" s="287"/>
      <c r="I91" s="287" t="s">
        <v>91</v>
      </c>
      <c r="J91" s="287"/>
      <c r="K91" s="287" t="s">
        <v>93</v>
      </c>
      <c r="L91" s="287"/>
      <c r="M91" s="297"/>
      <c r="N91" s="298"/>
    </row>
    <row r="92" spans="1:14" ht="17.25" customHeight="1" x14ac:dyDescent="0.15">
      <c r="A92" s="762"/>
      <c r="B92" s="201"/>
      <c r="D92" s="203"/>
      <c r="E92" s="201"/>
      <c r="F92" s="297"/>
      <c r="G92" s="207">
        <v>90000</v>
      </c>
      <c r="H92" s="287" t="s">
        <v>411</v>
      </c>
      <c r="I92" s="296">
        <v>8</v>
      </c>
      <c r="J92" s="216" t="s">
        <v>388</v>
      </c>
      <c r="K92" s="299">
        <f>G92/I92</f>
        <v>11250</v>
      </c>
      <c r="L92" s="287"/>
      <c r="M92" s="297"/>
      <c r="N92" s="298"/>
    </row>
    <row r="93" spans="1:14" ht="18" customHeight="1" x14ac:dyDescent="0.15">
      <c r="A93" s="763"/>
      <c r="B93" s="220"/>
      <c r="C93" s="221"/>
      <c r="D93" s="222"/>
      <c r="E93" s="224"/>
      <c r="F93" s="300"/>
      <c r="G93" s="300"/>
      <c r="H93" s="301"/>
      <c r="I93" s="300"/>
      <c r="J93" s="301"/>
      <c r="K93" s="300"/>
      <c r="L93" s="301"/>
      <c r="M93" s="300"/>
      <c r="N93" s="302"/>
    </row>
    <row r="94" spans="1:14" ht="7.5" customHeight="1" x14ac:dyDescent="0.15"/>
    <row r="95" spans="1:14" x14ac:dyDescent="0.15">
      <c r="I95" s="754" t="s">
        <v>86</v>
      </c>
      <c r="J95" s="754"/>
      <c r="K95" s="754"/>
      <c r="L95" s="754"/>
      <c r="M95" s="754"/>
      <c r="N95" s="754"/>
    </row>
    <row r="97" spans="1:14" x14ac:dyDescent="0.15">
      <c r="A97" s="189" t="s">
        <v>271</v>
      </c>
    </row>
    <row r="98" spans="1:14" ht="7.5" customHeight="1" x14ac:dyDescent="0.15"/>
    <row r="99" spans="1:14" ht="18" customHeight="1" x14ac:dyDescent="0.15">
      <c r="A99" s="191"/>
      <c r="B99" s="755" t="s">
        <v>73</v>
      </c>
      <c r="C99" s="756"/>
      <c r="D99" s="757"/>
      <c r="E99" s="192" t="s">
        <v>74</v>
      </c>
      <c r="F99" s="755" t="s">
        <v>75</v>
      </c>
      <c r="G99" s="756"/>
      <c r="H99" s="756"/>
      <c r="I99" s="756"/>
      <c r="J99" s="756"/>
      <c r="K99" s="756"/>
      <c r="L99" s="756"/>
      <c r="M99" s="756"/>
      <c r="N99" s="757"/>
    </row>
    <row r="100" spans="1:14" ht="18" customHeight="1" x14ac:dyDescent="0.15">
      <c r="A100" s="750" t="s">
        <v>96</v>
      </c>
      <c r="B100" s="193"/>
      <c r="C100" s="194"/>
      <c r="D100" s="195"/>
      <c r="E100" s="196"/>
      <c r="F100" s="193"/>
      <c r="G100" s="194"/>
      <c r="H100" s="268"/>
      <c r="I100" s="194"/>
      <c r="J100" s="268"/>
      <c r="K100" s="194"/>
      <c r="L100" s="268"/>
      <c r="M100" s="194"/>
      <c r="N100" s="199"/>
    </row>
    <row r="101" spans="1:14" ht="18" customHeight="1" x14ac:dyDescent="0.15">
      <c r="A101" s="751"/>
      <c r="B101" s="201"/>
      <c r="D101" s="203"/>
      <c r="F101" s="289"/>
      <c r="G101" s="303" t="s">
        <v>325</v>
      </c>
      <c r="H101" s="209"/>
      <c r="I101" s="209" t="s">
        <v>77</v>
      </c>
      <c r="J101" s="209"/>
      <c r="K101" s="209" t="s">
        <v>90</v>
      </c>
      <c r="L101" s="209"/>
      <c r="M101" s="209" t="s">
        <v>78</v>
      </c>
      <c r="N101" s="203"/>
    </row>
    <row r="102" spans="1:14" ht="18" customHeight="1" thickBot="1" x14ac:dyDescent="0.2">
      <c r="A102" s="751"/>
      <c r="B102" s="201"/>
      <c r="C102" s="202" t="s">
        <v>235</v>
      </c>
      <c r="D102" s="203"/>
      <c r="E102" s="304">
        <f>K107</f>
        <v>1357.1428571428571</v>
      </c>
      <c r="F102" s="289"/>
      <c r="G102" s="206">
        <v>105</v>
      </c>
      <c r="H102" s="207" t="s">
        <v>412</v>
      </c>
      <c r="I102" s="305">
        <v>7</v>
      </c>
      <c r="J102" s="207" t="s">
        <v>413</v>
      </c>
      <c r="K102" s="306">
        <f>E102</f>
        <v>1357.1428571428571</v>
      </c>
      <c r="L102" s="207" t="s">
        <v>414</v>
      </c>
      <c r="M102" s="206">
        <f>G102*K102</f>
        <v>142500</v>
      </c>
      <c r="N102" s="203"/>
    </row>
    <row r="103" spans="1:14" ht="18" customHeight="1" x14ac:dyDescent="0.15">
      <c r="A103" s="751"/>
      <c r="B103" s="201"/>
      <c r="C103" s="202"/>
      <c r="D103" s="203"/>
      <c r="E103" s="304"/>
      <c r="F103" s="289"/>
      <c r="G103" s="212"/>
      <c r="H103" s="291"/>
      <c r="I103" s="307"/>
      <c r="J103" s="291"/>
      <c r="K103" s="307" t="s">
        <v>79</v>
      </c>
      <c r="L103" s="291"/>
      <c r="M103" s="308">
        <f>SUM(M102:M102)</f>
        <v>142500</v>
      </c>
      <c r="N103" s="203"/>
    </row>
    <row r="104" spans="1:14" ht="18" customHeight="1" x14ac:dyDescent="0.15">
      <c r="A104" s="751"/>
      <c r="B104" s="201"/>
      <c r="C104" s="202"/>
      <c r="D104" s="203"/>
      <c r="E104" s="304"/>
      <c r="F104" s="289"/>
      <c r="G104" s="206"/>
      <c r="H104" s="207"/>
      <c r="I104" s="306"/>
      <c r="J104" s="207"/>
      <c r="K104" s="306"/>
      <c r="L104" s="207"/>
      <c r="M104" s="206"/>
      <c r="N104" s="203"/>
    </row>
    <row r="105" spans="1:14" ht="18" customHeight="1" x14ac:dyDescent="0.15">
      <c r="A105" s="751"/>
      <c r="B105" s="201"/>
      <c r="C105" s="202"/>
      <c r="D105" s="203"/>
      <c r="E105" s="304"/>
      <c r="F105" s="289"/>
      <c r="G105" s="767" t="s">
        <v>272</v>
      </c>
      <c r="H105" s="767"/>
      <c r="I105" s="306"/>
      <c r="J105" s="207"/>
      <c r="K105" s="306"/>
      <c r="L105" s="207"/>
      <c r="M105" s="206"/>
      <c r="N105" s="203"/>
    </row>
    <row r="106" spans="1:14" ht="18" customHeight="1" x14ac:dyDescent="0.15">
      <c r="A106" s="751"/>
      <c r="B106" s="201"/>
      <c r="C106" s="202"/>
      <c r="D106" s="203"/>
      <c r="E106" s="304"/>
      <c r="F106" s="289"/>
      <c r="G106" s="206" t="s">
        <v>273</v>
      </c>
      <c r="H106" s="207"/>
      <c r="I106" s="306" t="s">
        <v>77</v>
      </c>
      <c r="J106" s="207"/>
      <c r="K106" s="306" t="s">
        <v>74</v>
      </c>
      <c r="L106" s="207"/>
      <c r="M106" s="206"/>
      <c r="N106" s="203"/>
    </row>
    <row r="107" spans="1:14" ht="18" customHeight="1" x14ac:dyDescent="0.15">
      <c r="A107" s="751"/>
      <c r="B107" s="201"/>
      <c r="C107" s="202"/>
      <c r="D107" s="203"/>
      <c r="E107" s="304"/>
      <c r="F107" s="289"/>
      <c r="G107" s="309">
        <v>9500</v>
      </c>
      <c r="H107" s="207" t="s">
        <v>415</v>
      </c>
      <c r="I107" s="305">
        <v>7</v>
      </c>
      <c r="J107" s="207" t="s">
        <v>94</v>
      </c>
      <c r="K107" s="306">
        <f>G107/I107</f>
        <v>1357.1428571428571</v>
      </c>
      <c r="L107" s="207"/>
      <c r="M107" s="206"/>
      <c r="N107" s="203"/>
    </row>
    <row r="108" spans="1:14" ht="18" customHeight="1" x14ac:dyDescent="0.15">
      <c r="A108" s="752"/>
      <c r="B108" s="220"/>
      <c r="C108" s="221"/>
      <c r="D108" s="222"/>
      <c r="E108" s="223"/>
      <c r="F108" s="224"/>
      <c r="G108" s="221"/>
      <c r="H108" s="225"/>
      <c r="I108" s="221"/>
      <c r="J108" s="225"/>
      <c r="K108" s="221"/>
      <c r="L108" s="225"/>
      <c r="M108" s="221"/>
      <c r="N108" s="222"/>
    </row>
    <row r="109" spans="1:14" ht="6" customHeight="1" x14ac:dyDescent="0.15">
      <c r="A109" s="209"/>
      <c r="B109" s="209"/>
      <c r="C109" s="211"/>
      <c r="D109" s="211"/>
      <c r="E109" s="211"/>
      <c r="F109" s="211"/>
      <c r="G109" s="211"/>
      <c r="H109" s="209"/>
      <c r="I109" s="211"/>
      <c r="J109" s="209"/>
      <c r="K109" s="211"/>
      <c r="L109" s="209"/>
      <c r="M109" s="211"/>
      <c r="N109" s="211"/>
    </row>
    <row r="110" spans="1:14" ht="14.25" customHeight="1" x14ac:dyDescent="0.15">
      <c r="G110" s="226" t="s">
        <v>80</v>
      </c>
      <c r="H110" s="190" t="s">
        <v>385</v>
      </c>
      <c r="I110" s="754" t="s">
        <v>326</v>
      </c>
      <c r="J110" s="754"/>
      <c r="K110" s="754"/>
      <c r="L110" s="754"/>
      <c r="M110" s="754"/>
      <c r="N110" s="754"/>
    </row>
    <row r="111" spans="1:14" x14ac:dyDescent="0.15">
      <c r="G111" s="226" t="s">
        <v>81</v>
      </c>
      <c r="H111" s="190" t="s">
        <v>29</v>
      </c>
      <c r="I111" s="754" t="s">
        <v>323</v>
      </c>
      <c r="J111" s="754"/>
      <c r="K111" s="754"/>
      <c r="L111" s="754"/>
      <c r="M111" s="754"/>
      <c r="N111" s="754"/>
    </row>
  </sheetData>
  <mergeCells count="40">
    <mergeCell ref="I111:N111"/>
    <mergeCell ref="A45:A50"/>
    <mergeCell ref="G47:K47"/>
    <mergeCell ref="F44:N44"/>
    <mergeCell ref="B44:D44"/>
    <mergeCell ref="A74:A82"/>
    <mergeCell ref="A90:A93"/>
    <mergeCell ref="A100:A108"/>
    <mergeCell ref="B99:D99"/>
    <mergeCell ref="F99:N99"/>
    <mergeCell ref="A57:A66"/>
    <mergeCell ref="I110:N110"/>
    <mergeCell ref="G105:H105"/>
    <mergeCell ref="I95:N95"/>
    <mergeCell ref="B3:D3"/>
    <mergeCell ref="F3:N3"/>
    <mergeCell ref="E89:N89"/>
    <mergeCell ref="B56:D56"/>
    <mergeCell ref="F56:N56"/>
    <mergeCell ref="I68:N68"/>
    <mergeCell ref="B73:D73"/>
    <mergeCell ref="F73:N73"/>
    <mergeCell ref="B89:D89"/>
    <mergeCell ref="I69:N69"/>
    <mergeCell ref="I85:N85"/>
    <mergeCell ref="B15:D15"/>
    <mergeCell ref="B31:D31"/>
    <mergeCell ref="I26:N26"/>
    <mergeCell ref="I27:N27"/>
    <mergeCell ref="F15:N15"/>
    <mergeCell ref="A4:A9"/>
    <mergeCell ref="I10:N10"/>
    <mergeCell ref="I52:M52"/>
    <mergeCell ref="I84:N84"/>
    <mergeCell ref="I11:N11"/>
    <mergeCell ref="A16:A25"/>
    <mergeCell ref="F31:N31"/>
    <mergeCell ref="A32:A38"/>
    <mergeCell ref="I39:N39"/>
    <mergeCell ref="I40:N40"/>
  </mergeCells>
  <phoneticPr fontId="12"/>
  <dataValidations count="1">
    <dataValidation errorStyle="warning" allowBlank="1" showInputMessage="1" showErrorMessage="1" sqref="H33"/>
  </dataValidations>
  <printOptions horizontalCentered="1"/>
  <pageMargins left="0.59055118110236227" right="0.47244094488188981" top="0.78740157480314965" bottom="0.59055118110236227" header="0.51181102362204722" footer="0.51181102362204722"/>
  <pageSetup paperSize="9" scale="96" firstPageNumber="66" orientation="landscape" r:id="rId1"/>
  <headerFooter alignWithMargins="0"/>
  <rowBreaks count="4" manualBreakCount="4">
    <brk id="28" max="13" man="1"/>
    <brk id="53" max="13" man="1"/>
    <brk id="86" max="13" man="1"/>
    <brk id="111" max="1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9</vt:i4>
      </vt:variant>
    </vt:vector>
  </HeadingPairs>
  <TitlesOfParts>
    <vt:vector size="20" baseType="lpstr">
      <vt:lpstr>表紙</vt:lpstr>
      <vt:lpstr>現況､事業計画(1)～(3)</vt:lpstr>
      <vt:lpstr>事業計画(4)～(7)</vt:lpstr>
      <vt:lpstr>生産計画</vt:lpstr>
      <vt:lpstr>図面等</vt:lpstr>
      <vt:lpstr>収支計画書</vt:lpstr>
      <vt:lpstr>目標収支計画</vt:lpstr>
      <vt:lpstr>単収、単価根拠</vt:lpstr>
      <vt:lpstr>ピーマン積算根拠</vt:lpstr>
      <vt:lpstr>作物純益率（ピーマン）</vt:lpstr>
      <vt:lpstr>ﾘｰｽ料算定表</vt:lpstr>
      <vt:lpstr>ピーマン積算根拠!Print_Area</vt:lpstr>
      <vt:lpstr>ﾘｰｽ料算定表!Print_Area</vt:lpstr>
      <vt:lpstr>'現況､事業計画(1)～(3)'!Print_Area</vt:lpstr>
      <vt:lpstr>'作物純益率（ピーマン）'!Print_Area</vt:lpstr>
      <vt:lpstr>収支計画書!Print_Area</vt:lpstr>
      <vt:lpstr>生産計画!Print_Area</vt:lpstr>
      <vt:lpstr>'単収、単価根拠'!Print_Area</vt:lpstr>
      <vt:lpstr>表紙!Print_Area</vt:lpstr>
      <vt:lpstr>目標収支計画!Print_Area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　喜久広</dc:creator>
  <cp:lastModifiedBy>沖縄県</cp:lastModifiedBy>
  <cp:lastPrinted>2015-02-12T04:08:48Z</cp:lastPrinted>
  <dcterms:created xsi:type="dcterms:W3CDTF">2008-08-06T04:49:17Z</dcterms:created>
  <dcterms:modified xsi:type="dcterms:W3CDTF">2024-02-09T02:26:59Z</dcterms:modified>
</cp:coreProperties>
</file>